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inif_cabernet-sauvi_rm-2014" sheetId="1" r:id="rId1"/>
    <sheet name="Hoja1" sheetId="2" state="hidden" r:id="rId2"/>
  </sheets>
  <definedNames>
    <definedName name="_xlnm.Print_Area" localSheetId="0">'vinif_cabernet-sauvi_rm-2014'!$A$1:$K$101</definedName>
  </definedNames>
  <calcPr fullCalcOnLoad="1"/>
</workbook>
</file>

<file path=xl/sharedStrings.xml><?xml version="1.0" encoding="utf-8"?>
<sst xmlns="http://schemas.openxmlformats.org/spreadsheetml/2006/main" count="177" uniqueCount="123">
  <si>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</si>
  <si>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</si>
  <si>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</si>
  <si>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</si>
  <si>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</si>
  <si>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</si>
  <si>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</si>
  <si>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</si>
  <si>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</si>
  <si>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</si>
  <si>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</si>
  <si>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</si>
  <si>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</si>
  <si>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</si>
  <si>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</si>
  <si>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</si>
  <si>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</si>
  <si>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</si>
  <si>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</si>
  <si>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</si>
  <si>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</si>
  <si>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</si>
  <si>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</si>
  <si>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</si>
  <si>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</si>
  <si>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</si>
  <si>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</si>
  <si>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</si>
  <si>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</si>
  <si>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</si>
  <si>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</si>
  <si>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</si>
  <si>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</si>
  <si>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</si>
  <si>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</si>
  <si>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</si>
  <si>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</si>
  <si>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</si>
  <si>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</si>
  <si>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</si>
  <si>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</si>
  <si>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</si>
  <si>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</si>
  <si>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de pesticidas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</si>
  <si>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</si>
  <si>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</si>
  <si>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Aplicación pesticida</t>
  </si>
  <si>
    <t>Poda</t>
  </si>
  <si>
    <t>Amarras de guías</t>
  </si>
  <si>
    <t>Aplicación de fertilizantes</t>
  </si>
  <si>
    <t>Riego y limpia acequias</t>
  </si>
  <si>
    <t>Deshojar racimos</t>
  </si>
  <si>
    <t>Acarreo de insumos e implementos</t>
  </si>
  <si>
    <t>Flete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</si>
  <si>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</si>
  <si>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t>Ficha Técnico Económica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</si>
  <si>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</si>
  <si>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</si>
  <si>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</si>
  <si>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</si>
  <si>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</si>
  <si>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</si>
  <si>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</si>
  <si>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</si>
  <si>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Agua de riego</t>
  </si>
  <si>
    <t>febrero</t>
  </si>
  <si>
    <t>marzo a febrero</t>
  </si>
  <si>
    <t>mayo - febrero</t>
  </si>
  <si>
    <t>junio - julio</t>
  </si>
  <si>
    <t>julio - agosto</t>
  </si>
  <si>
    <t>agosto - marzo</t>
  </si>
  <si>
    <t>octubre - marzo</t>
  </si>
  <si>
    <t>diciembre - enero</t>
  </si>
  <si>
    <t>marzo - abril</t>
  </si>
  <si>
    <t>anual</t>
  </si>
  <si>
    <t>agosto - noviembre</t>
  </si>
  <si>
    <t>octubre - noviembre</t>
  </si>
  <si>
    <t>noviembre - marzo</t>
  </si>
  <si>
    <t>porcentaje</t>
  </si>
  <si>
    <t>Margen neto ($/hectárea)</t>
  </si>
  <si>
    <t>Precio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</si>
  <si>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(7)</t>
    </r>
  </si>
  <si>
    <t>Rendimiento (kilos/hectárea)</t>
  </si>
  <si>
    <t>Costo Unitario ($/kilo)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</si>
  <si>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</si>
  <si>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La dosis de fertilización promedio podría variar de acuerdo a los resultados del análisis de suelo.</t>
  </si>
  <si>
    <t>(5) 1,5% mensual simple,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</si>
  <si>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</si>
  <si>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</si>
  <si>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r>
      <t xml:space="preserve">Cosecha </t>
    </r>
    <r>
      <rPr>
        <vertAlign val="superscript"/>
        <sz val="14"/>
        <rFont val="Arial"/>
        <family val="2"/>
      </rPr>
      <t>(2)</t>
    </r>
  </si>
  <si>
    <t>Rendimiento (kilos/hectárea):</t>
  </si>
  <si>
    <t>Costo jornada hombre ($/jornada hombre):</t>
  </si>
  <si>
    <t>(2) Costo cosecha equivale a cortar la uva y dejarla en el bins.</t>
  </si>
  <si>
    <t>Desbrote (tronco y corona)</t>
  </si>
  <si>
    <t>Reponer postes y alambrados (infraestructura)</t>
  </si>
  <si>
    <t>Chapoda: Sacar exceso de hojas sobre los racimos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</si>
  <si>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</si>
  <si>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Round full II</t>
  </si>
  <si>
    <t>Tecnología: media</t>
  </si>
  <si>
    <t>Variedad: Cabernet suavignon</t>
  </si>
  <si>
    <t>Destino de producción: Industria vitivinícola</t>
  </si>
  <si>
    <t>Inicio ciclo: mayo</t>
  </si>
  <si>
    <t>Nitrato de amonio</t>
  </si>
  <si>
    <t>Podexal</t>
  </si>
  <si>
    <t>Azufre en polvo</t>
  </si>
  <si>
    <t>(1) El precio del kilo de uva para vino, corresponde al promedio de la región durante el periodo de cosecha en el predio en la temporada 2013/2014. El peso promedio de un bins con uva se estimó en 450 kg.</t>
  </si>
  <si>
    <t>Región Metropolitana</t>
  </si>
  <si>
    <t>1 hectárea septiembre 2014</t>
  </si>
  <si>
    <t>Densidad (plantas/ha): 3.086 (2,5 X 1,25)</t>
  </si>
  <si>
    <t>Trituradora</t>
  </si>
  <si>
    <t>julio- agosto</t>
  </si>
  <si>
    <t>Régimen hídrigo: riego por goteo</t>
  </si>
  <si>
    <t>Ácido fosfórico</t>
  </si>
  <si>
    <t>Switch 62.5 WS</t>
  </si>
  <si>
    <t>octubre-enero</t>
  </si>
  <si>
    <t>noviembre</t>
  </si>
  <si>
    <t xml:space="preserve">Vid Vinífera </t>
  </si>
  <si>
    <t>Urea</t>
  </si>
  <si>
    <t>Reponer postes</t>
  </si>
  <si>
    <t>Cinta de amarra</t>
  </si>
  <si>
    <r>
      <t>Análisis foliar</t>
    </r>
    <r>
      <rPr>
        <vertAlign val="superscript"/>
        <sz val="14"/>
        <rFont val="Arial"/>
        <family val="2"/>
      </rPr>
      <t>(4)</t>
    </r>
  </si>
  <si>
    <t>(Precios sin IVA)</t>
  </si>
  <si>
    <t>Cosecha: marzo-Abril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</si>
</sst>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9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9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9" fillId="34" borderId="14" xfId="0" applyFont="1" applyFill="1" applyBorder="1" applyAlignment="1">
      <alignment/>
    </xf>
    <xf numFmtId="3" fontId="64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5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2" fillId="37" borderId="0" xfId="0" applyFont="1" applyFill="1" applyAlignment="1">
      <alignment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20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1" fontId="62" fillId="23" borderId="25" xfId="56" applyNumberFormat="1" applyFont="1" applyFill="1" applyBorder="1" applyAlignment="1" applyProtection="1">
      <alignment horizontal="center" vertical="center" wrapText="1"/>
      <protection/>
    </xf>
    <xf numFmtId="0" fontId="62" fillId="23" borderId="25" xfId="56" applyFont="1" applyFill="1" applyBorder="1" applyAlignment="1" applyProtection="1">
      <alignment horizontal="center" vertical="center" wrapText="1"/>
      <protection/>
    </xf>
    <xf numFmtId="3" fontId="62" fillId="23" borderId="25" xfId="56" applyNumberFormat="1" applyFont="1" applyFill="1" applyBorder="1" applyAlignment="1" applyProtection="1">
      <alignment horizontal="center" vertical="center" wrapText="1"/>
      <protection/>
    </xf>
    <xf numFmtId="3" fontId="62" fillId="23" borderId="18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5" fontId="10" fillId="34" borderId="11" xfId="67" applyNumberFormat="1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7" xfId="0" applyFill="1" applyBorder="1" applyAlignment="1">
      <alignment/>
    </xf>
    <xf numFmtId="0" fontId="10" fillId="0" borderId="20" xfId="67" applyNumberFormat="1" applyFont="1" applyFill="1" applyBorder="1" applyAlignment="1" applyProtection="1">
      <alignment horizontal="left" indent="1"/>
      <protection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2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3" fontId="8" fillId="34" borderId="17" xfId="55" applyNumberFormat="1" applyFont="1" applyFill="1" applyBorder="1" applyAlignment="1">
      <alignment horizontal="right"/>
      <protection/>
    </xf>
    <xf numFmtId="3" fontId="59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0" xfId="56" applyFont="1" applyFill="1" applyBorder="1" applyAlignment="1">
      <alignment horizontal="left"/>
      <protection/>
    </xf>
    <xf numFmtId="0" fontId="10" fillId="34" borderId="20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7" fontId="10" fillId="34" borderId="19" xfId="67" applyNumberFormat="1" applyFont="1" applyFill="1" applyBorder="1">
      <alignment/>
      <protection/>
    </xf>
    <xf numFmtId="3" fontId="8" fillId="34" borderId="14" xfId="67" applyNumberFormat="1" applyFont="1" applyFill="1" applyBorder="1">
      <alignment/>
      <protection/>
    </xf>
    <xf numFmtId="181" fontId="10" fillId="34" borderId="14" xfId="56" applyNumberFormat="1" applyFont="1" applyFill="1" applyBorder="1" applyAlignment="1">
      <alignment horizontal="center"/>
      <protection/>
    </xf>
    <xf numFmtId="181" fontId="10" fillId="34" borderId="0" xfId="56" applyNumberFormat="1" applyFont="1" applyFill="1" applyAlignment="1">
      <alignment horizontal="center"/>
      <protection/>
    </xf>
    <xf numFmtId="181" fontId="10" fillId="34" borderId="13" xfId="56" applyNumberFormat="1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center"/>
      <protection/>
    </xf>
    <xf numFmtId="3" fontId="10" fillId="34" borderId="14" xfId="67" applyNumberFormat="1" applyFont="1" applyFill="1" applyBorder="1" applyAlignment="1">
      <alignment horizontal="center"/>
      <protection/>
    </xf>
    <xf numFmtId="3" fontId="10" fillId="34" borderId="0" xfId="67" applyNumberFormat="1" applyFont="1" applyFill="1" applyAlignment="1">
      <alignment horizontal="center"/>
      <protection/>
    </xf>
    <xf numFmtId="3" fontId="10" fillId="34" borderId="13" xfId="67" applyNumberFormat="1" applyFont="1" applyFill="1" applyBorder="1" applyAlignment="1">
      <alignment horizontal="center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6" xfId="55" applyFont="1" applyFill="1" applyBorder="1">
      <alignment/>
      <protection/>
    </xf>
    <xf numFmtId="0" fontId="10" fillId="34" borderId="20" xfId="67" applyNumberFormat="1" applyFont="1" applyFill="1" applyBorder="1" applyAlignment="1" quotePrefix="1">
      <alignment horizontal="left"/>
      <protection/>
    </xf>
    <xf numFmtId="0" fontId="10" fillId="34" borderId="0" xfId="67" applyNumberFormat="1" applyFont="1" applyFill="1" applyAlignment="1" quotePrefix="1">
      <alignment horizontal="left"/>
      <protection/>
    </xf>
    <xf numFmtId="0" fontId="10" fillId="34" borderId="0" xfId="56" applyFont="1" applyFill="1" applyAlignment="1" quotePrefix="1">
      <alignment horizontal="center"/>
      <protection/>
    </xf>
    <xf numFmtId="3" fontId="10" fillId="34" borderId="0" xfId="56" applyNumberFormat="1" applyFont="1" applyFill="1" applyAlignment="1">
      <alignment horizontal="center"/>
      <protection/>
    </xf>
    <xf numFmtId="3" fontId="10" fillId="34" borderId="13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23" xfId="56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84" fontId="10" fillId="0" borderId="20" xfId="56" applyNumberFormat="1" applyFont="1" applyFill="1" applyBorder="1" applyAlignment="1" applyProtection="1">
      <alignment horizontal="center"/>
      <protection/>
    </xf>
    <xf numFmtId="3" fontId="10" fillId="0" borderId="20" xfId="67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1" fontId="10" fillId="34" borderId="22" xfId="56" applyNumberFormat="1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>
      <alignment horizontal="center"/>
      <protection/>
    </xf>
    <xf numFmtId="3" fontId="10" fillId="34" borderId="0" xfId="56" applyNumberFormat="1" applyFont="1" applyFill="1" applyBorder="1" applyAlignment="1" applyProtection="1">
      <alignment horizontal="right"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180" fontId="10" fillId="34" borderId="0" xfId="67" applyFont="1" applyFill="1" applyBorder="1">
      <alignment/>
      <protection/>
    </xf>
    <xf numFmtId="180" fontId="8" fillId="34" borderId="0" xfId="67" applyFont="1" applyFill="1" applyBorder="1">
      <alignment/>
      <protection/>
    </xf>
    <xf numFmtId="180" fontId="10" fillId="34" borderId="15" xfId="67" applyFont="1" applyFill="1" applyBorder="1" applyAlignment="1" quotePrefix="1">
      <alignment horizontal="left"/>
      <protection/>
    </xf>
    <xf numFmtId="180" fontId="10" fillId="34" borderId="13" xfId="67" applyFont="1" applyFill="1" applyBorder="1">
      <alignment/>
      <protection/>
    </xf>
    <xf numFmtId="180" fontId="8" fillId="34" borderId="13" xfId="67" applyFont="1" applyFill="1" applyBorder="1">
      <alignment/>
      <protection/>
    </xf>
    <xf numFmtId="0" fontId="10" fillId="0" borderId="20" xfId="67" applyNumberFormat="1" applyFont="1" applyFill="1" applyBorder="1" applyAlignment="1" applyProtection="1">
      <alignment/>
      <protection/>
    </xf>
    <xf numFmtId="181" fontId="8" fillId="34" borderId="15" xfId="0" applyNumberFormat="1" applyFont="1" applyFill="1" applyBorder="1" applyAlignment="1">
      <alignment/>
    </xf>
    <xf numFmtId="195" fontId="8" fillId="34" borderId="16" xfId="56" applyNumberFormat="1" applyFont="1" applyFill="1" applyBorder="1" applyAlignment="1">
      <alignment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center" vertical="center"/>
      <protection/>
    </xf>
    <xf numFmtId="183" fontId="10" fillId="34" borderId="12" xfId="0" applyNumberFormat="1" applyFont="1" applyFill="1" applyBorder="1" applyAlignment="1">
      <alignment horizontal="center"/>
    </xf>
    <xf numFmtId="0" fontId="10" fillId="34" borderId="2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0" xfId="56" applyFont="1" applyFill="1" applyAlignment="1" quotePrefix="1">
      <alignment horizontal="left"/>
      <protection/>
    </xf>
    <xf numFmtId="0" fontId="10" fillId="34" borderId="0" xfId="56" applyFont="1" applyFill="1" applyAlignment="1">
      <alignment horizontal="left"/>
      <protection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0" fontId="62" fillId="23" borderId="25" xfId="56" applyFont="1" applyFill="1" applyBorder="1" applyAlignment="1" applyProtection="1">
      <alignment horizontal="center" vertical="center"/>
      <protection/>
    </xf>
    <xf numFmtId="0" fontId="62" fillId="39" borderId="19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7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8" fillId="38" borderId="1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18" xfId="0" applyNumberFormat="1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180" fontId="63" fillId="0" borderId="0" xfId="67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62" fillId="39" borderId="19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7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0" borderId="2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 horizontal="left"/>
      <protection/>
    </xf>
    <xf numFmtId="17" fontId="62" fillId="40" borderId="19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7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2" fillId="40" borderId="19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7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23" borderId="24" xfId="56" applyFont="1" applyFill="1" applyBorder="1" applyAlignment="1" applyProtection="1">
      <alignment horizontal="left"/>
      <protection/>
    </xf>
    <xf numFmtId="0" fontId="62" fillId="23" borderId="25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10" fillId="34" borderId="20" xfId="67" applyNumberFormat="1" applyFont="1" applyFill="1" applyBorder="1" applyAlignment="1" quotePrefix="1">
      <alignment horizontal="left"/>
      <protection/>
    </xf>
    <xf numFmtId="0" fontId="10" fillId="34" borderId="0" xfId="67" applyNumberFormat="1" applyFont="1" applyFill="1" applyAlignment="1" quotePrefix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181" fontId="10" fillId="34" borderId="14" xfId="67" applyNumberFormat="1" applyFont="1" applyFill="1" applyBorder="1" applyAlignment="1" quotePrefix="1">
      <alignment horizontal="left"/>
      <protection/>
    </xf>
    <xf numFmtId="181" fontId="10" fillId="34" borderId="0" xfId="67" applyNumberFormat="1" applyFont="1" applyFill="1" applyBorder="1" applyAlignment="1" quotePrefix="1">
      <alignment horizontal="left"/>
      <protection/>
    </xf>
    <xf numFmtId="0" fontId="59" fillId="34" borderId="13" xfId="0" applyFont="1" applyFill="1" applyBorder="1" applyAlignment="1" quotePrefix="1">
      <alignment horizontal="left"/>
    </xf>
    <xf numFmtId="180" fontId="10" fillId="34" borderId="20" xfId="67" applyFont="1" applyFill="1" applyBorder="1" applyAlignment="1" quotePrefix="1">
      <alignment horizontal="left"/>
      <protection/>
    </xf>
    <xf numFmtId="180" fontId="10" fillId="34" borderId="0" xfId="67" applyFont="1" applyFill="1" applyBorder="1" applyAlignment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628650</xdr:colOff>
      <xdr:row>100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30886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3"/>
  <sheetViews>
    <sheetView showGridLines="0" tabSelected="1" view="pageBreakPreview" zoomScale="70" zoomScaleNormal="70" zoomScaleSheetLayoutView="70" zoomScalePageLayoutView="80" workbookViewId="0" topLeftCell="A1">
      <selection activeCell="A83" sqref="A83:IV83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5.42187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3"/>
      <c r="C2" s="143"/>
      <c r="D2" s="321" t="s">
        <v>55</v>
      </c>
      <c r="E2" s="321"/>
      <c r="F2" s="321"/>
      <c r="G2" s="321"/>
      <c r="H2" s="321"/>
      <c r="I2" s="321"/>
      <c r="J2" s="321"/>
    </row>
    <row r="3" spans="2:11" s="3" customFormat="1" ht="18" customHeight="1">
      <c r="B3" s="85"/>
      <c r="C3" s="99"/>
      <c r="D3" s="260" t="s">
        <v>116</v>
      </c>
      <c r="E3" s="260"/>
      <c r="F3" s="260"/>
      <c r="G3" s="260"/>
      <c r="H3" s="260"/>
      <c r="I3" s="260"/>
      <c r="J3" s="260"/>
      <c r="K3" s="12"/>
    </row>
    <row r="4" spans="2:11" s="3" customFormat="1" ht="18" customHeight="1">
      <c r="B4" s="85"/>
      <c r="C4" s="99"/>
      <c r="D4" s="260" t="s">
        <v>106</v>
      </c>
      <c r="E4" s="260"/>
      <c r="F4" s="260"/>
      <c r="G4" s="260"/>
      <c r="H4" s="260"/>
      <c r="I4" s="260"/>
      <c r="J4" s="260"/>
      <c r="K4" s="12"/>
    </row>
    <row r="5" spans="2:11" s="3" customFormat="1" ht="18" customHeight="1">
      <c r="B5" s="85"/>
      <c r="C5" s="99"/>
      <c r="D5" s="260" t="s">
        <v>121</v>
      </c>
      <c r="E5" s="260"/>
      <c r="F5" s="260"/>
      <c r="G5" s="260"/>
      <c r="H5" s="260"/>
      <c r="I5" s="260"/>
      <c r="J5" s="260"/>
      <c r="K5" s="12"/>
    </row>
    <row r="6" spans="2:11" s="3" customFormat="1" ht="18" customHeight="1">
      <c r="B6" s="38"/>
      <c r="C6" s="38"/>
      <c r="D6" s="100"/>
      <c r="E6" s="40"/>
      <c r="F6" s="125"/>
      <c r="G6" s="125"/>
      <c r="H6" s="125"/>
      <c r="I6" s="125"/>
      <c r="J6" s="125"/>
      <c r="K6" s="14"/>
    </row>
    <row r="7" spans="2:11" s="3" customFormat="1" ht="18" customHeight="1">
      <c r="B7" s="38"/>
      <c r="C7" s="38"/>
      <c r="D7" s="306" t="s">
        <v>34</v>
      </c>
      <c r="E7" s="307"/>
      <c r="F7" s="307"/>
      <c r="G7" s="307"/>
      <c r="H7" s="307"/>
      <c r="I7" s="307"/>
      <c r="J7" s="308"/>
      <c r="K7" s="14"/>
    </row>
    <row r="8" spans="2:11" s="3" customFormat="1" ht="18" customHeight="1">
      <c r="B8" s="38"/>
      <c r="C8" s="38"/>
      <c r="D8" s="185" t="s">
        <v>107</v>
      </c>
      <c r="E8" s="82"/>
      <c r="F8" s="82"/>
      <c r="G8" s="337" t="s">
        <v>99</v>
      </c>
      <c r="H8" s="337"/>
      <c r="I8" s="186"/>
      <c r="J8" s="83"/>
      <c r="K8" s="14"/>
    </row>
    <row r="9" spans="2:11" s="3" customFormat="1" ht="18" customHeight="1">
      <c r="B9" s="38"/>
      <c r="C9" s="38"/>
      <c r="D9" s="340" t="s">
        <v>111</v>
      </c>
      <c r="E9" s="341"/>
      <c r="F9" s="216"/>
      <c r="G9" s="338" t="s">
        <v>100</v>
      </c>
      <c r="H9" s="338"/>
      <c r="I9" s="338"/>
      <c r="J9" s="87"/>
      <c r="K9" s="14"/>
    </row>
    <row r="10" spans="2:11" s="3" customFormat="1" ht="18" customHeight="1">
      <c r="B10" s="38"/>
      <c r="C10" s="38"/>
      <c r="D10" s="340" t="s">
        <v>108</v>
      </c>
      <c r="E10" s="341"/>
      <c r="F10" s="341"/>
      <c r="G10" s="338" t="s">
        <v>98</v>
      </c>
      <c r="H10" s="338"/>
      <c r="I10" s="217"/>
      <c r="J10" s="87"/>
      <c r="K10" s="16"/>
    </row>
    <row r="11" spans="2:11" s="3" customFormat="1" ht="18" customHeight="1">
      <c r="B11" s="38"/>
      <c r="C11" s="38"/>
      <c r="D11" s="218" t="s">
        <v>101</v>
      </c>
      <c r="E11" s="219"/>
      <c r="F11" s="219"/>
      <c r="G11" s="339" t="s">
        <v>122</v>
      </c>
      <c r="H11" s="339"/>
      <c r="I11" s="220"/>
      <c r="J11" s="88"/>
      <c r="K11" s="16"/>
    </row>
    <row r="12" spans="2:11" s="3" customFormat="1" ht="18" customHeight="1">
      <c r="B12" s="38"/>
      <c r="C12" s="38"/>
      <c r="D12" s="24"/>
      <c r="E12" s="84"/>
      <c r="F12" s="84"/>
      <c r="G12" s="24"/>
      <c r="H12" s="85"/>
      <c r="I12" s="86"/>
      <c r="J12" s="111"/>
      <c r="K12" s="16"/>
    </row>
    <row r="13" spans="2:11" ht="18">
      <c r="B13" s="310" t="s">
        <v>35</v>
      </c>
      <c r="C13" s="311"/>
      <c r="D13" s="311"/>
      <c r="E13" s="312"/>
      <c r="F13" s="37"/>
      <c r="G13" s="313" t="s">
        <v>9</v>
      </c>
      <c r="H13" s="314"/>
      <c r="I13" s="314"/>
      <c r="J13" s="315"/>
      <c r="K13" s="14"/>
    </row>
    <row r="14" spans="2:11" ht="18">
      <c r="B14" s="93" t="s">
        <v>90</v>
      </c>
      <c r="C14" s="94"/>
      <c r="D14" s="82"/>
      <c r="E14" s="177">
        <v>8500</v>
      </c>
      <c r="F14" s="38"/>
      <c r="G14" s="97" t="s">
        <v>4</v>
      </c>
      <c r="H14" s="82"/>
      <c r="I14" s="82"/>
      <c r="J14" s="166">
        <f>E14*E15</f>
        <v>1955000</v>
      </c>
      <c r="K14" s="14"/>
    </row>
    <row r="15" spans="2:13" ht="18" customHeight="1">
      <c r="B15" s="322" t="s">
        <v>96</v>
      </c>
      <c r="C15" s="323"/>
      <c r="D15" s="323"/>
      <c r="E15" s="194">
        <v>230</v>
      </c>
      <c r="F15" s="38"/>
      <c r="G15" s="98" t="s">
        <v>5</v>
      </c>
      <c r="H15" s="38"/>
      <c r="I15" s="38"/>
      <c r="J15" s="167">
        <f>J32+J39+J60</f>
        <v>1364554</v>
      </c>
      <c r="K15" s="14"/>
      <c r="M15" s="128"/>
    </row>
    <row r="16" spans="2:11" ht="18">
      <c r="B16" s="120" t="s">
        <v>91</v>
      </c>
      <c r="C16" s="39"/>
      <c r="D16" s="38"/>
      <c r="E16" s="194">
        <v>13000</v>
      </c>
      <c r="F16" s="178"/>
      <c r="G16" s="98" t="s">
        <v>6</v>
      </c>
      <c r="H16" s="40"/>
      <c r="I16" s="38"/>
      <c r="J16" s="167">
        <f>J32+J39+J60+J64+J69</f>
        <v>1555591.56</v>
      </c>
      <c r="K16" s="14"/>
    </row>
    <row r="17" spans="2:11" ht="18">
      <c r="B17" s="120" t="s">
        <v>2</v>
      </c>
      <c r="C17" s="41"/>
      <c r="D17" s="38"/>
      <c r="E17" s="179">
        <v>0.015</v>
      </c>
      <c r="F17" s="38"/>
      <c r="G17" s="98" t="s">
        <v>7</v>
      </c>
      <c r="H17" s="38"/>
      <c r="I17" s="38"/>
      <c r="J17" s="167">
        <f>J14-J15</f>
        <v>590446</v>
      </c>
      <c r="K17" s="14"/>
    </row>
    <row r="18" spans="2:11" ht="18">
      <c r="B18" s="95" t="s">
        <v>3</v>
      </c>
      <c r="C18" s="96"/>
      <c r="D18" s="89"/>
      <c r="E18" s="195">
        <v>12</v>
      </c>
      <c r="F18" s="38"/>
      <c r="G18" s="222" t="s">
        <v>8</v>
      </c>
      <c r="H18" s="89"/>
      <c r="I18" s="89"/>
      <c r="J18" s="223">
        <f>J14-J16</f>
        <v>399408.43999999994</v>
      </c>
      <c r="K18" s="14"/>
    </row>
    <row r="19" spans="2:11" s="3" customFormat="1" ht="18">
      <c r="B19" s="38"/>
      <c r="C19" s="38"/>
      <c r="D19" s="38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32</v>
      </c>
      <c r="C20" s="101"/>
      <c r="D20" s="101"/>
      <c r="E20" s="309"/>
      <c r="F20" s="309"/>
      <c r="G20" s="103"/>
      <c r="H20" s="104"/>
      <c r="I20" s="115"/>
      <c r="J20" s="105"/>
      <c r="K20" s="14"/>
    </row>
    <row r="21" spans="2:11" s="3" customFormat="1" ht="18">
      <c r="B21" s="319" t="s">
        <v>12</v>
      </c>
      <c r="C21" s="320"/>
      <c r="D21" s="320"/>
      <c r="E21" s="249" t="s">
        <v>56</v>
      </c>
      <c r="F21" s="249"/>
      <c r="G21" s="152" t="s">
        <v>10</v>
      </c>
      <c r="H21" s="153" t="s">
        <v>11</v>
      </c>
      <c r="I21" s="154" t="s">
        <v>57</v>
      </c>
      <c r="J21" s="155" t="s">
        <v>1</v>
      </c>
      <c r="K21" s="14"/>
    </row>
    <row r="22" spans="2:10" s="3" customFormat="1" ht="18">
      <c r="B22" s="138" t="s">
        <v>46</v>
      </c>
      <c r="C22" s="139"/>
      <c r="D22" s="140"/>
      <c r="E22" s="302" t="s">
        <v>67</v>
      </c>
      <c r="F22" s="303"/>
      <c r="G22" s="187">
        <v>4</v>
      </c>
      <c r="H22" s="201" t="s">
        <v>58</v>
      </c>
      <c r="I22" s="191">
        <f>E16</f>
        <v>13000</v>
      </c>
      <c r="J22" s="204">
        <f aca="true" t="shared" si="0" ref="J22:J31">G22*I22</f>
        <v>52000</v>
      </c>
    </row>
    <row r="23" spans="2:10" s="3" customFormat="1" ht="18">
      <c r="B23" s="129" t="s">
        <v>47</v>
      </c>
      <c r="C23" s="130"/>
      <c r="D23" s="131"/>
      <c r="E23" s="236" t="s">
        <v>68</v>
      </c>
      <c r="F23" s="237"/>
      <c r="G23" s="188">
        <v>3086</v>
      </c>
      <c r="H23" s="202" t="s">
        <v>59</v>
      </c>
      <c r="I23" s="192">
        <v>30</v>
      </c>
      <c r="J23" s="205">
        <f t="shared" si="0"/>
        <v>92580</v>
      </c>
    </row>
    <row r="24" spans="2:10" s="3" customFormat="1" ht="18" customHeight="1">
      <c r="B24" s="129" t="s">
        <v>94</v>
      </c>
      <c r="C24" s="130"/>
      <c r="D24" s="131"/>
      <c r="E24" s="236" t="s">
        <v>69</v>
      </c>
      <c r="F24" s="237"/>
      <c r="G24" s="188">
        <v>3</v>
      </c>
      <c r="H24" s="202" t="s">
        <v>58</v>
      </c>
      <c r="I24" s="192">
        <f>E16</f>
        <v>13000</v>
      </c>
      <c r="J24" s="205">
        <f t="shared" si="0"/>
        <v>39000</v>
      </c>
    </row>
    <row r="25" spans="2:10" s="3" customFormat="1" ht="18">
      <c r="B25" s="129" t="s">
        <v>48</v>
      </c>
      <c r="C25" s="130"/>
      <c r="D25" s="131"/>
      <c r="E25" s="236" t="s">
        <v>69</v>
      </c>
      <c r="F25" s="237"/>
      <c r="G25" s="188">
        <v>2</v>
      </c>
      <c r="H25" s="202" t="s">
        <v>58</v>
      </c>
      <c r="I25" s="192">
        <f>E16</f>
        <v>13000</v>
      </c>
      <c r="J25" s="205">
        <f t="shared" si="0"/>
        <v>26000</v>
      </c>
    </row>
    <row r="26" spans="2:10" s="3" customFormat="1" ht="18">
      <c r="B26" s="129" t="s">
        <v>49</v>
      </c>
      <c r="C26" s="130"/>
      <c r="D26" s="131"/>
      <c r="E26" s="236" t="s">
        <v>70</v>
      </c>
      <c r="F26" s="237"/>
      <c r="G26" s="188">
        <v>2</v>
      </c>
      <c r="H26" s="202" t="s">
        <v>58</v>
      </c>
      <c r="I26" s="192">
        <f>E16</f>
        <v>13000</v>
      </c>
      <c r="J26" s="205">
        <f t="shared" si="0"/>
        <v>26000</v>
      </c>
    </row>
    <row r="27" spans="2:10" s="3" customFormat="1" ht="18">
      <c r="B27" s="129" t="s">
        <v>50</v>
      </c>
      <c r="C27" s="130"/>
      <c r="D27" s="131"/>
      <c r="E27" s="236" t="s">
        <v>71</v>
      </c>
      <c r="F27" s="237"/>
      <c r="G27" s="188">
        <v>5</v>
      </c>
      <c r="H27" s="202" t="s">
        <v>58</v>
      </c>
      <c r="I27" s="192">
        <f>E16</f>
        <v>13000</v>
      </c>
      <c r="J27" s="205">
        <f t="shared" si="0"/>
        <v>65000</v>
      </c>
    </row>
    <row r="28" spans="2:10" s="3" customFormat="1" ht="18">
      <c r="B28" s="129" t="s">
        <v>51</v>
      </c>
      <c r="C28" s="130"/>
      <c r="D28" s="131"/>
      <c r="E28" s="236" t="s">
        <v>72</v>
      </c>
      <c r="F28" s="237"/>
      <c r="G28" s="188">
        <v>3086</v>
      </c>
      <c r="H28" s="202" t="s">
        <v>59</v>
      </c>
      <c r="I28" s="192">
        <v>8</v>
      </c>
      <c r="J28" s="205">
        <f t="shared" si="0"/>
        <v>24688</v>
      </c>
    </row>
    <row r="29" spans="2:10" s="3" customFormat="1" ht="18">
      <c r="B29" s="129" t="s">
        <v>93</v>
      </c>
      <c r="C29" s="130"/>
      <c r="D29" s="131"/>
      <c r="E29" s="236" t="s">
        <v>72</v>
      </c>
      <c r="F29" s="237"/>
      <c r="G29" s="188">
        <v>3086</v>
      </c>
      <c r="H29" s="202" t="s">
        <v>59</v>
      </c>
      <c r="I29" s="192">
        <v>24</v>
      </c>
      <c r="J29" s="205">
        <f t="shared" si="0"/>
        <v>74064</v>
      </c>
    </row>
    <row r="30" spans="2:18" s="3" customFormat="1" ht="18">
      <c r="B30" s="129" t="s">
        <v>95</v>
      </c>
      <c r="C30" s="130"/>
      <c r="D30" s="131"/>
      <c r="E30" s="236" t="s">
        <v>65</v>
      </c>
      <c r="F30" s="237"/>
      <c r="G30" s="188">
        <v>3086</v>
      </c>
      <c r="H30" s="202" t="s">
        <v>59</v>
      </c>
      <c r="I30" s="192">
        <v>8</v>
      </c>
      <c r="J30" s="205">
        <f t="shared" si="0"/>
        <v>24688</v>
      </c>
      <c r="R30" s="24"/>
    </row>
    <row r="31" spans="2:10" s="3" customFormat="1" ht="18" customHeight="1">
      <c r="B31" s="135" t="s">
        <v>89</v>
      </c>
      <c r="C31" s="136"/>
      <c r="D31" s="137"/>
      <c r="E31" s="263" t="s">
        <v>73</v>
      </c>
      <c r="F31" s="264"/>
      <c r="G31" s="189">
        <f>E14</f>
        <v>8500</v>
      </c>
      <c r="H31" s="203" t="s">
        <v>62</v>
      </c>
      <c r="I31" s="193">
        <v>28</v>
      </c>
      <c r="J31" s="206">
        <f t="shared" si="0"/>
        <v>238000</v>
      </c>
    </row>
    <row r="32" spans="2:11" ht="18">
      <c r="B32" s="261" t="s">
        <v>13</v>
      </c>
      <c r="C32" s="262"/>
      <c r="D32" s="262"/>
      <c r="E32" s="262"/>
      <c r="F32" s="262"/>
      <c r="G32" s="262"/>
      <c r="H32" s="262"/>
      <c r="I32" s="262"/>
      <c r="J32" s="90">
        <f>SUM(J22:J31)</f>
        <v>662020</v>
      </c>
      <c r="K32" s="3"/>
    </row>
    <row r="33" spans="2:10" s="3" customFormat="1" ht="18">
      <c r="B33" s="80"/>
      <c r="C33" s="80"/>
      <c r="D33" s="80"/>
      <c r="E33" s="80"/>
      <c r="F33" s="80"/>
      <c r="G33" s="23"/>
      <c r="H33" s="80"/>
      <c r="I33" s="80"/>
      <c r="J33" s="25"/>
    </row>
    <row r="34" spans="2:11" s="26" customFormat="1" ht="18">
      <c r="B34" s="319" t="s">
        <v>14</v>
      </c>
      <c r="C34" s="320"/>
      <c r="D34" s="320"/>
      <c r="E34" s="249" t="s">
        <v>56</v>
      </c>
      <c r="F34" s="249"/>
      <c r="G34" s="152" t="s">
        <v>10</v>
      </c>
      <c r="H34" s="153" t="s">
        <v>11</v>
      </c>
      <c r="I34" s="154" t="s">
        <v>57</v>
      </c>
      <c r="J34" s="155" t="s">
        <v>1</v>
      </c>
      <c r="K34" s="3"/>
    </row>
    <row r="35" spans="2:10" s="3" customFormat="1" ht="18">
      <c r="B35" s="279" t="s">
        <v>43</v>
      </c>
      <c r="C35" s="280"/>
      <c r="D35" s="336"/>
      <c r="E35" s="302" t="s">
        <v>67</v>
      </c>
      <c r="F35" s="303"/>
      <c r="G35" s="158">
        <v>8</v>
      </c>
      <c r="H35" s="144" t="s">
        <v>61</v>
      </c>
      <c r="I35" s="148">
        <v>15000</v>
      </c>
      <c r="J35" s="112">
        <f>I35*G35</f>
        <v>120000</v>
      </c>
    </row>
    <row r="36" spans="2:10" s="3" customFormat="1" ht="18">
      <c r="B36" s="181" t="s">
        <v>109</v>
      </c>
      <c r="C36" s="183"/>
      <c r="D36" s="184"/>
      <c r="E36" s="236" t="s">
        <v>110</v>
      </c>
      <c r="F36" s="237"/>
      <c r="G36" s="207">
        <v>2</v>
      </c>
      <c r="H36" s="146" t="s">
        <v>61</v>
      </c>
      <c r="I36" s="208">
        <v>14000</v>
      </c>
      <c r="J36" s="113">
        <f>G36*I36</f>
        <v>28000</v>
      </c>
    </row>
    <row r="37" spans="2:10" s="3" customFormat="1" ht="18">
      <c r="B37" s="286" t="s">
        <v>52</v>
      </c>
      <c r="C37" s="287"/>
      <c r="D37" s="288"/>
      <c r="E37" s="236" t="s">
        <v>66</v>
      </c>
      <c r="F37" s="237"/>
      <c r="G37" s="157">
        <v>1</v>
      </c>
      <c r="H37" s="146" t="s">
        <v>61</v>
      </c>
      <c r="I37" s="149">
        <v>50000</v>
      </c>
      <c r="J37" s="113">
        <f>I37*G37</f>
        <v>50000</v>
      </c>
    </row>
    <row r="38" spans="2:10" s="3" customFormat="1" ht="18">
      <c r="B38" s="129" t="s">
        <v>53</v>
      </c>
      <c r="C38" s="130"/>
      <c r="D38" s="131"/>
      <c r="E38" s="263" t="s">
        <v>73</v>
      </c>
      <c r="F38" s="264"/>
      <c r="G38" s="157">
        <f>E14</f>
        <v>8500</v>
      </c>
      <c r="H38" s="146" t="s">
        <v>62</v>
      </c>
      <c r="I38" s="149">
        <v>7</v>
      </c>
      <c r="J38" s="113">
        <f>I38*G38</f>
        <v>59500</v>
      </c>
    </row>
    <row r="39" spans="2:12" ht="18">
      <c r="B39" s="261" t="s">
        <v>15</v>
      </c>
      <c r="C39" s="262"/>
      <c r="D39" s="262"/>
      <c r="E39" s="262"/>
      <c r="F39" s="262"/>
      <c r="G39" s="262"/>
      <c r="H39" s="262"/>
      <c r="I39" s="262"/>
      <c r="J39" s="106">
        <f>SUM(J35:J38)</f>
        <v>257500</v>
      </c>
      <c r="K39" s="3"/>
      <c r="L39" s="14"/>
    </row>
    <row r="40" spans="2:12" s="3" customFormat="1" ht="18">
      <c r="B40" s="80"/>
      <c r="C40" s="80"/>
      <c r="D40" s="80"/>
      <c r="E40" s="80"/>
      <c r="F40" s="80"/>
      <c r="G40" s="23"/>
      <c r="H40" s="80"/>
      <c r="I40" s="80"/>
      <c r="J40" s="25"/>
      <c r="L40" s="17"/>
    </row>
    <row r="41" spans="2:12" s="3" customFormat="1" ht="21">
      <c r="B41" s="319" t="s">
        <v>54</v>
      </c>
      <c r="C41" s="320"/>
      <c r="D41" s="320"/>
      <c r="E41" s="249" t="s">
        <v>56</v>
      </c>
      <c r="F41" s="249"/>
      <c r="G41" s="152" t="s">
        <v>10</v>
      </c>
      <c r="H41" s="153" t="s">
        <v>11</v>
      </c>
      <c r="I41" s="154" t="s">
        <v>57</v>
      </c>
      <c r="J41" s="155" t="s">
        <v>1</v>
      </c>
      <c r="L41" s="22"/>
    </row>
    <row r="42" spans="2:12" s="3" customFormat="1" ht="18">
      <c r="B42" s="268" t="s">
        <v>30</v>
      </c>
      <c r="C42" s="269" t="s">
        <v>39</v>
      </c>
      <c r="D42" s="270" t="s">
        <v>39</v>
      </c>
      <c r="E42" s="238"/>
      <c r="F42" s="238"/>
      <c r="G42" s="209"/>
      <c r="H42" s="213"/>
      <c r="I42" s="212"/>
      <c r="J42" s="112"/>
      <c r="L42" s="22"/>
    </row>
    <row r="43" spans="2:12" s="3" customFormat="1" ht="18">
      <c r="B43" s="132" t="s">
        <v>117</v>
      </c>
      <c r="C43" s="133"/>
      <c r="D43" s="134"/>
      <c r="E43" s="236" t="s">
        <v>75</v>
      </c>
      <c r="F43" s="238"/>
      <c r="G43" s="157">
        <v>180</v>
      </c>
      <c r="H43" s="147" t="s">
        <v>62</v>
      </c>
      <c r="I43" s="150">
        <v>370</v>
      </c>
      <c r="J43" s="113">
        <f>G43*I43</f>
        <v>66600</v>
      </c>
      <c r="L43" s="22"/>
    </row>
    <row r="44" spans="2:12" s="3" customFormat="1" ht="18">
      <c r="B44" s="334" t="s">
        <v>102</v>
      </c>
      <c r="C44" s="335"/>
      <c r="D44" s="134"/>
      <c r="E44" s="236" t="s">
        <v>76</v>
      </c>
      <c r="F44" s="238"/>
      <c r="G44" s="157">
        <v>150</v>
      </c>
      <c r="H44" s="147" t="s">
        <v>62</v>
      </c>
      <c r="I44" s="150">
        <v>470</v>
      </c>
      <c r="J44" s="113">
        <f>G44*I44</f>
        <v>70500</v>
      </c>
      <c r="L44" s="22"/>
    </row>
    <row r="45" spans="2:12" s="3" customFormat="1" ht="18">
      <c r="B45" s="196" t="s">
        <v>112</v>
      </c>
      <c r="C45" s="197"/>
      <c r="D45" s="134"/>
      <c r="E45" s="236" t="s">
        <v>70</v>
      </c>
      <c r="F45" s="238"/>
      <c r="G45" s="157">
        <v>35</v>
      </c>
      <c r="H45" s="147" t="s">
        <v>62</v>
      </c>
      <c r="I45" s="150">
        <v>730</v>
      </c>
      <c r="J45" s="113">
        <f>G45*I45</f>
        <v>25550</v>
      </c>
      <c r="L45" s="22"/>
    </row>
    <row r="46" spans="2:12" s="3" customFormat="1" ht="18">
      <c r="B46" s="196"/>
      <c r="C46" s="197"/>
      <c r="D46" s="134"/>
      <c r="E46" s="198"/>
      <c r="F46" s="190"/>
      <c r="G46" s="157"/>
      <c r="H46" s="147"/>
      <c r="I46" s="150"/>
      <c r="J46" s="113"/>
      <c r="L46" s="22"/>
    </row>
    <row r="47" spans="2:12" s="3" customFormat="1" ht="18">
      <c r="B47" s="265" t="s">
        <v>31</v>
      </c>
      <c r="C47" s="266"/>
      <c r="D47" s="267"/>
      <c r="E47" s="236"/>
      <c r="F47" s="238"/>
      <c r="G47" s="157"/>
      <c r="H47" s="147"/>
      <c r="I47" s="150"/>
      <c r="J47" s="113"/>
      <c r="L47" s="22"/>
    </row>
    <row r="48" spans="2:12" s="3" customFormat="1" ht="18">
      <c r="B48" s="196" t="s">
        <v>103</v>
      </c>
      <c r="C48" s="133"/>
      <c r="D48" s="134"/>
      <c r="E48" s="236" t="s">
        <v>68</v>
      </c>
      <c r="F48" s="238"/>
      <c r="G48" s="157">
        <v>4</v>
      </c>
      <c r="H48" s="147" t="s">
        <v>63</v>
      </c>
      <c r="I48" s="199">
        <v>3721</v>
      </c>
      <c r="J48" s="113">
        <f>G48*I48</f>
        <v>14884</v>
      </c>
      <c r="L48" s="22"/>
    </row>
    <row r="49" spans="2:12" s="3" customFormat="1" ht="18">
      <c r="B49" s="196" t="s">
        <v>104</v>
      </c>
      <c r="C49" s="173"/>
      <c r="D49" s="174"/>
      <c r="E49" s="304" t="s">
        <v>114</v>
      </c>
      <c r="F49" s="305"/>
      <c r="G49" s="156">
        <v>100</v>
      </c>
      <c r="H49" s="145" t="s">
        <v>62</v>
      </c>
      <c r="I49" s="199">
        <v>390</v>
      </c>
      <c r="J49" s="175">
        <f>G49*I49</f>
        <v>39000</v>
      </c>
      <c r="L49" s="22"/>
    </row>
    <row r="50" spans="2:12" s="3" customFormat="1" ht="18">
      <c r="B50" s="196" t="s">
        <v>113</v>
      </c>
      <c r="C50" s="133"/>
      <c r="D50" s="134"/>
      <c r="E50" s="236" t="s">
        <v>115</v>
      </c>
      <c r="F50" s="238"/>
      <c r="G50" s="157">
        <v>0.5</v>
      </c>
      <c r="H50" s="147" t="s">
        <v>62</v>
      </c>
      <c r="I50" s="199">
        <v>112000</v>
      </c>
      <c r="J50" s="113">
        <f>G50*I50</f>
        <v>56000</v>
      </c>
      <c r="L50" s="22"/>
    </row>
    <row r="51" spans="2:12" s="3" customFormat="1" ht="18">
      <c r="B51" s="172"/>
      <c r="C51" s="133"/>
      <c r="D51" s="134"/>
      <c r="E51" s="239"/>
      <c r="F51" s="240"/>
      <c r="G51" s="157"/>
      <c r="H51" s="147"/>
      <c r="I51" s="150"/>
      <c r="J51" s="113"/>
      <c r="L51" s="22"/>
    </row>
    <row r="52" spans="2:12" s="3" customFormat="1" ht="18">
      <c r="B52" s="118" t="s">
        <v>42</v>
      </c>
      <c r="C52" s="116"/>
      <c r="D52" s="117"/>
      <c r="E52" s="176"/>
      <c r="F52" s="182"/>
      <c r="G52" s="159"/>
      <c r="H52" s="151"/>
      <c r="I52" s="150"/>
      <c r="J52" s="113"/>
      <c r="L52" s="22"/>
    </row>
    <row r="53" spans="2:12" s="3" customFormat="1" ht="18">
      <c r="B53" s="221" t="s">
        <v>97</v>
      </c>
      <c r="C53" s="133"/>
      <c r="D53" s="134"/>
      <c r="E53" s="236" t="s">
        <v>69</v>
      </c>
      <c r="F53" s="238"/>
      <c r="G53" s="157">
        <v>5</v>
      </c>
      <c r="H53" s="147" t="s">
        <v>63</v>
      </c>
      <c r="I53" s="150">
        <v>4500</v>
      </c>
      <c r="J53" s="113">
        <f>G53*I53</f>
        <v>22500</v>
      </c>
      <c r="L53" s="22"/>
    </row>
    <row r="54" spans="2:12" s="3" customFormat="1" ht="18">
      <c r="B54" s="172"/>
      <c r="C54" s="133"/>
      <c r="D54" s="134"/>
      <c r="E54" s="180"/>
      <c r="F54" s="182"/>
      <c r="G54" s="157"/>
      <c r="H54" s="147"/>
      <c r="I54" s="150"/>
      <c r="J54" s="113"/>
      <c r="L54" s="22"/>
    </row>
    <row r="55" spans="2:12" s="3" customFormat="1" ht="18">
      <c r="B55" s="108" t="s">
        <v>40</v>
      </c>
      <c r="C55" s="109"/>
      <c r="D55" s="110"/>
      <c r="E55" s="176"/>
      <c r="F55" s="182"/>
      <c r="G55" s="159"/>
      <c r="H55" s="151"/>
      <c r="I55" s="150"/>
      <c r="J55" s="113"/>
      <c r="L55" s="22"/>
    </row>
    <row r="56" spans="2:12" s="3" customFormat="1" ht="18">
      <c r="B56" s="132" t="s">
        <v>64</v>
      </c>
      <c r="C56" s="133"/>
      <c r="D56" s="134"/>
      <c r="E56" s="236" t="s">
        <v>74</v>
      </c>
      <c r="F56" s="238"/>
      <c r="G56" s="210">
        <v>1</v>
      </c>
      <c r="H56" s="214" t="s">
        <v>61</v>
      </c>
      <c r="I56" s="199">
        <v>90000</v>
      </c>
      <c r="J56" s="113">
        <f>G56*I56</f>
        <v>90000</v>
      </c>
      <c r="L56" s="22"/>
    </row>
    <row r="57" spans="2:12" s="3" customFormat="1" ht="18">
      <c r="B57" s="132" t="s">
        <v>118</v>
      </c>
      <c r="C57" s="133"/>
      <c r="D57" s="134"/>
      <c r="E57" s="236" t="s">
        <v>68</v>
      </c>
      <c r="F57" s="238"/>
      <c r="G57" s="210">
        <v>15</v>
      </c>
      <c r="H57" s="214" t="s">
        <v>60</v>
      </c>
      <c r="I57" s="199">
        <v>1000</v>
      </c>
      <c r="J57" s="113">
        <f>G57*I57</f>
        <v>15000</v>
      </c>
      <c r="L57" s="22"/>
    </row>
    <row r="58" spans="2:12" s="3" customFormat="1" ht="18">
      <c r="B58" s="132" t="s">
        <v>119</v>
      </c>
      <c r="C58" s="133"/>
      <c r="D58" s="134"/>
      <c r="E58" s="236" t="s">
        <v>76</v>
      </c>
      <c r="F58" s="238"/>
      <c r="G58" s="210">
        <v>2</v>
      </c>
      <c r="H58" s="214" t="s">
        <v>60</v>
      </c>
      <c r="I58" s="199">
        <v>10000</v>
      </c>
      <c r="J58" s="113">
        <v>20000</v>
      </c>
      <c r="L58" s="22"/>
    </row>
    <row r="59" spans="2:12" s="3" customFormat="1" ht="21">
      <c r="B59" s="132" t="s">
        <v>120</v>
      </c>
      <c r="C59" s="133"/>
      <c r="D59" s="134"/>
      <c r="E59" s="236" t="s">
        <v>77</v>
      </c>
      <c r="F59" s="238"/>
      <c r="G59" s="211">
        <v>1</v>
      </c>
      <c r="H59" s="215" t="s">
        <v>61</v>
      </c>
      <c r="I59" s="200">
        <v>25000</v>
      </c>
      <c r="J59" s="121">
        <f>G59*I59</f>
        <v>25000</v>
      </c>
      <c r="L59" s="22"/>
    </row>
    <row r="60" spans="2:14" ht="18">
      <c r="B60" s="298" t="s">
        <v>16</v>
      </c>
      <c r="C60" s="299"/>
      <c r="D60" s="299"/>
      <c r="E60" s="299"/>
      <c r="F60" s="299"/>
      <c r="G60" s="299"/>
      <c r="H60" s="299"/>
      <c r="I60" s="299"/>
      <c r="J60" s="107">
        <f>SUM(J42:J59)</f>
        <v>445034</v>
      </c>
      <c r="K60" s="14"/>
      <c r="M60" s="14"/>
      <c r="N60" s="14"/>
    </row>
    <row r="61" spans="2:14" s="3" customFormat="1" ht="18">
      <c r="B61" s="27"/>
      <c r="C61" s="27"/>
      <c r="D61" s="27"/>
      <c r="E61" s="27"/>
      <c r="F61" s="27"/>
      <c r="G61" s="28"/>
      <c r="H61" s="27"/>
      <c r="I61" s="27"/>
      <c r="J61" s="29"/>
      <c r="K61" s="14"/>
      <c r="M61" s="14"/>
      <c r="N61" s="14"/>
    </row>
    <row r="62" spans="2:16" ht="18">
      <c r="B62" s="300" t="s">
        <v>17</v>
      </c>
      <c r="C62" s="301"/>
      <c r="D62" s="301"/>
      <c r="E62" s="301"/>
      <c r="F62" s="301"/>
      <c r="G62" s="301"/>
      <c r="H62" s="301"/>
      <c r="I62" s="301"/>
      <c r="J62" s="90">
        <f>J32+J39+J60</f>
        <v>1364554</v>
      </c>
      <c r="K62" s="14"/>
      <c r="M62" s="14"/>
      <c r="N62" s="14"/>
      <c r="O62" s="9"/>
      <c r="P62" s="9"/>
    </row>
    <row r="63" spans="2:14" s="3" customFormat="1" ht="18">
      <c r="B63" s="81"/>
      <c r="C63" s="81"/>
      <c r="D63" s="81"/>
      <c r="E63" s="81"/>
      <c r="F63" s="81"/>
      <c r="G63" s="30"/>
      <c r="H63" s="81"/>
      <c r="I63" s="81"/>
      <c r="J63" s="25"/>
      <c r="K63" s="14"/>
      <c r="M63" s="14"/>
      <c r="N63" s="14"/>
    </row>
    <row r="64" spans="2:14" s="3" customFormat="1" ht="18">
      <c r="B64" s="122" t="s">
        <v>38</v>
      </c>
      <c r="C64" s="123"/>
      <c r="D64" s="123"/>
      <c r="E64" s="296"/>
      <c r="F64" s="297"/>
      <c r="G64" s="160">
        <v>0.05</v>
      </c>
      <c r="H64" s="168" t="s">
        <v>78</v>
      </c>
      <c r="I64" s="169"/>
      <c r="J64" s="124">
        <f>J62*G64</f>
        <v>68227.7</v>
      </c>
      <c r="K64" s="14"/>
      <c r="M64" s="14"/>
      <c r="N64" s="14"/>
    </row>
    <row r="65" spans="2:14" s="3" customFormat="1" ht="18">
      <c r="B65" s="119"/>
      <c r="C65" s="119"/>
      <c r="D65" s="119"/>
      <c r="E65" s="119"/>
      <c r="F65" s="119"/>
      <c r="G65" s="161"/>
      <c r="H65" s="162"/>
      <c r="I65" s="119"/>
      <c r="J65" s="25"/>
      <c r="K65" s="14"/>
      <c r="M65" s="14"/>
      <c r="N65" s="14"/>
    </row>
    <row r="66" spans="2:14" s="3" customFormat="1" ht="20.25">
      <c r="B66" s="102" t="s">
        <v>37</v>
      </c>
      <c r="C66" s="101"/>
      <c r="D66" s="101"/>
      <c r="E66" s="18"/>
      <c r="F66" s="18"/>
      <c r="G66" s="163"/>
      <c r="H66" s="141"/>
      <c r="I66" s="21"/>
      <c r="J66" s="21"/>
      <c r="K66" s="14"/>
      <c r="M66" s="14"/>
      <c r="N66" s="14"/>
    </row>
    <row r="67" spans="2:14" s="3" customFormat="1" ht="18">
      <c r="B67" s="233" t="s">
        <v>36</v>
      </c>
      <c r="C67" s="234"/>
      <c r="D67" s="234"/>
      <c r="E67" s="249"/>
      <c r="F67" s="249"/>
      <c r="G67" s="152" t="s">
        <v>10</v>
      </c>
      <c r="H67" s="153" t="s">
        <v>11</v>
      </c>
      <c r="I67" s="154"/>
      <c r="J67" s="155" t="s">
        <v>1</v>
      </c>
      <c r="K67" s="14"/>
      <c r="M67" s="14"/>
      <c r="N67" s="14"/>
    </row>
    <row r="68" spans="2:15" s="3" customFormat="1" ht="21">
      <c r="B68" s="279" t="s">
        <v>44</v>
      </c>
      <c r="C68" s="280"/>
      <c r="D68" s="280"/>
      <c r="E68" s="294"/>
      <c r="F68" s="295"/>
      <c r="G68" s="164">
        <f>E17</f>
        <v>0.015</v>
      </c>
      <c r="H68" s="170" t="s">
        <v>78</v>
      </c>
      <c r="I68" s="171"/>
      <c r="J68" s="10">
        <f>J62*E17*E18*0.5</f>
        <v>122809.85999999999</v>
      </c>
      <c r="K68" s="14"/>
      <c r="L68" s="287"/>
      <c r="M68" s="287"/>
      <c r="N68" s="287"/>
      <c r="O68" s="287"/>
    </row>
    <row r="69" spans="2:14" ht="18">
      <c r="B69" s="231" t="s">
        <v>33</v>
      </c>
      <c r="C69" s="232"/>
      <c r="D69" s="232"/>
      <c r="E69" s="232"/>
      <c r="F69" s="232"/>
      <c r="G69" s="232"/>
      <c r="H69" s="232"/>
      <c r="I69" s="232"/>
      <c r="J69" s="106">
        <f>SUM(J68:J68)</f>
        <v>122809.85999999999</v>
      </c>
      <c r="K69" s="14"/>
      <c r="M69" s="14"/>
      <c r="N69" s="14"/>
    </row>
    <row r="70" spans="2:12" s="3" customFormat="1" ht="18">
      <c r="B70" s="80"/>
      <c r="C70" s="80"/>
      <c r="D70" s="80"/>
      <c r="E70" s="80"/>
      <c r="F70" s="80"/>
      <c r="G70" s="23"/>
      <c r="H70" s="80"/>
      <c r="I70" s="80"/>
      <c r="J70" s="25"/>
      <c r="K70" s="14"/>
      <c r="L70" s="14"/>
    </row>
    <row r="71" spans="2:12" ht="18">
      <c r="B71" s="289" t="s">
        <v>19</v>
      </c>
      <c r="C71" s="290"/>
      <c r="D71" s="290"/>
      <c r="E71" s="290"/>
      <c r="F71" s="290"/>
      <c r="G71" s="290"/>
      <c r="H71" s="290"/>
      <c r="I71" s="290"/>
      <c r="J71" s="241">
        <f>J62+J64+J69</f>
        <v>1555591.56</v>
      </c>
      <c r="K71" s="14"/>
      <c r="L71" s="14"/>
    </row>
    <row r="72" spans="2:12" s="3" customFormat="1" ht="18">
      <c r="B72" s="231"/>
      <c r="C72" s="232"/>
      <c r="D72" s="232"/>
      <c r="E72" s="232"/>
      <c r="F72" s="232"/>
      <c r="G72" s="232"/>
      <c r="H72" s="232"/>
      <c r="I72" s="232"/>
      <c r="J72" s="242"/>
      <c r="K72" s="14"/>
      <c r="L72" s="14"/>
    </row>
    <row r="73" spans="2:12" s="3" customFormat="1" ht="18" customHeight="1">
      <c r="B73" s="126"/>
      <c r="C73" s="126"/>
      <c r="D73" s="126"/>
      <c r="E73" s="126"/>
      <c r="F73" s="126"/>
      <c r="G73" s="126"/>
      <c r="H73" s="126"/>
      <c r="I73" s="126"/>
      <c r="J73" s="127"/>
      <c r="K73" s="14"/>
      <c r="L73" s="14"/>
    </row>
    <row r="74" spans="2:12" ht="18" customHeight="1">
      <c r="B74" s="291" t="s">
        <v>45</v>
      </c>
      <c r="C74" s="292"/>
      <c r="D74" s="292"/>
      <c r="E74" s="292"/>
      <c r="F74" s="292"/>
      <c r="G74" s="292"/>
      <c r="H74" s="292"/>
      <c r="I74" s="292"/>
      <c r="J74" s="293"/>
      <c r="K74" s="14"/>
      <c r="L74" s="22"/>
    </row>
    <row r="75" spans="2:12" ht="18" customHeight="1">
      <c r="B75" s="257" t="s">
        <v>79</v>
      </c>
      <c r="C75" s="258"/>
      <c r="D75" s="258"/>
      <c r="E75" s="258"/>
      <c r="F75" s="258"/>
      <c r="G75" s="258"/>
      <c r="H75" s="258"/>
      <c r="I75" s="258"/>
      <c r="J75" s="259"/>
      <c r="K75" s="14"/>
      <c r="L75" s="22"/>
    </row>
    <row r="76" spans="2:12" s="3" customFormat="1" ht="18" customHeight="1">
      <c r="B76" s="271" t="s">
        <v>82</v>
      </c>
      <c r="C76" s="271"/>
      <c r="D76" s="271"/>
      <c r="E76" s="272" t="s">
        <v>80</v>
      </c>
      <c r="F76" s="273"/>
      <c r="G76" s="273"/>
      <c r="H76" s="273"/>
      <c r="I76" s="273"/>
      <c r="J76" s="274"/>
      <c r="K76" s="14"/>
      <c r="L76" s="22"/>
    </row>
    <row r="77" spans="2:12" s="3" customFormat="1" ht="18" customHeight="1">
      <c r="B77" s="271"/>
      <c r="C77" s="271"/>
      <c r="D77" s="271"/>
      <c r="E77" s="277">
        <f>G77*0.9</f>
        <v>207</v>
      </c>
      <c r="F77" s="277"/>
      <c r="G77" s="256">
        <f>E15</f>
        <v>230</v>
      </c>
      <c r="H77" s="256"/>
      <c r="I77" s="275">
        <f>G77*1.1</f>
        <v>253.00000000000003</v>
      </c>
      <c r="J77" s="276"/>
      <c r="K77" s="14"/>
      <c r="L77" s="22"/>
    </row>
    <row r="78" spans="2:12" s="3" customFormat="1" ht="18" customHeight="1">
      <c r="B78" s="277">
        <f>B79*0.9</f>
        <v>7650</v>
      </c>
      <c r="C78" s="277"/>
      <c r="D78" s="277"/>
      <c r="E78" s="235">
        <f>E$77*$B$78-Hoja1!$C$40</f>
        <v>55090.439999999944</v>
      </c>
      <c r="F78" s="235"/>
      <c r="G78" s="235">
        <f>G$77*$B$78-Hoja1!$C$40</f>
        <v>231040.43999999994</v>
      </c>
      <c r="H78" s="235"/>
      <c r="I78" s="247">
        <f>I$77*$B$78-Hoja1!$C$40</f>
        <v>406990.4400000002</v>
      </c>
      <c r="J78" s="248"/>
      <c r="K78" s="14"/>
      <c r="L78" s="22"/>
    </row>
    <row r="79" spans="2:12" s="3" customFormat="1" ht="18" customHeight="1">
      <c r="B79" s="277">
        <f>E14</f>
        <v>8500</v>
      </c>
      <c r="C79" s="277"/>
      <c r="D79" s="277"/>
      <c r="E79" s="235">
        <f>E$77*$B$79-$J$71</f>
        <v>203908.43999999994</v>
      </c>
      <c r="F79" s="235"/>
      <c r="G79" s="235">
        <f>G$77*$B$79-$J$71</f>
        <v>399408.43999999994</v>
      </c>
      <c r="H79" s="235"/>
      <c r="I79" s="247">
        <f>I$77*$B$79-$J$71</f>
        <v>594908.4400000004</v>
      </c>
      <c r="J79" s="248"/>
      <c r="K79" s="14"/>
      <c r="L79" s="22"/>
    </row>
    <row r="80" spans="2:12" s="3" customFormat="1" ht="18" customHeight="1">
      <c r="B80" s="277">
        <f>B79*1.1</f>
        <v>9350</v>
      </c>
      <c r="C80" s="277"/>
      <c r="D80" s="277"/>
      <c r="E80" s="235">
        <f>E$77*$B$80-Hoja1!$D$40</f>
        <v>345784.6699999999</v>
      </c>
      <c r="F80" s="235"/>
      <c r="G80" s="235">
        <f>G$77*$B$80-Hoja1!$D$40</f>
        <v>560834.6699999999</v>
      </c>
      <c r="H80" s="235"/>
      <c r="I80" s="247">
        <f>I$77*$B$80-Hoja1!$D$40</f>
        <v>775884.6700000004</v>
      </c>
      <c r="J80" s="248"/>
      <c r="K80" s="14"/>
      <c r="L80" s="22"/>
    </row>
    <row r="81" spans="2:12" s="3" customFormat="1" ht="18" customHeight="1">
      <c r="B81" s="32"/>
      <c r="C81" s="32"/>
      <c r="D81" s="32"/>
      <c r="E81" s="165"/>
      <c r="F81" s="165"/>
      <c r="G81" s="165"/>
      <c r="H81" s="165"/>
      <c r="I81" s="165"/>
      <c r="J81" s="165"/>
      <c r="K81" s="14"/>
      <c r="L81" s="22"/>
    </row>
    <row r="83" spans="2:12" s="3" customFormat="1" ht="18" customHeight="1">
      <c r="B83" s="32"/>
      <c r="C83" s="32"/>
      <c r="D83" s="32"/>
      <c r="E83" s="165"/>
      <c r="F83" s="165"/>
      <c r="G83" s="165"/>
      <c r="H83" s="165"/>
      <c r="I83" s="165"/>
      <c r="J83" s="165"/>
      <c r="K83" s="14"/>
      <c r="L83" s="22"/>
    </row>
    <row r="84" spans="2:12" s="3" customFormat="1" ht="18" customHeight="1">
      <c r="B84" s="250" t="s">
        <v>81</v>
      </c>
      <c r="C84" s="251"/>
      <c r="D84" s="251"/>
      <c r="E84" s="251"/>
      <c r="F84" s="251"/>
      <c r="G84" s="251"/>
      <c r="H84" s="251"/>
      <c r="I84" s="251"/>
      <c r="J84" s="252"/>
      <c r="K84" s="14"/>
      <c r="L84" s="22"/>
    </row>
    <row r="85" spans="2:12" s="3" customFormat="1" ht="18" customHeight="1">
      <c r="B85" s="253"/>
      <c r="C85" s="254"/>
      <c r="D85" s="254"/>
      <c r="E85" s="254"/>
      <c r="F85" s="254"/>
      <c r="G85" s="254"/>
      <c r="H85" s="254"/>
      <c r="I85" s="254"/>
      <c r="J85" s="255"/>
      <c r="K85" s="14"/>
      <c r="L85" s="22"/>
    </row>
    <row r="86" spans="2:12" s="3" customFormat="1" ht="18" customHeight="1">
      <c r="B86" s="243" t="s">
        <v>82</v>
      </c>
      <c r="C86" s="244"/>
      <c r="D86" s="244"/>
      <c r="E86" s="244">
        <f>B78</f>
        <v>7650</v>
      </c>
      <c r="F86" s="244"/>
      <c r="G86" s="244">
        <f>E14</f>
        <v>8500</v>
      </c>
      <c r="H86" s="244"/>
      <c r="I86" s="244">
        <f>B80</f>
        <v>9350</v>
      </c>
      <c r="J86" s="332"/>
      <c r="K86" s="14"/>
      <c r="L86" s="22"/>
    </row>
    <row r="87" spans="2:12" ht="18" customHeight="1">
      <c r="B87" s="245"/>
      <c r="C87" s="246"/>
      <c r="D87" s="246"/>
      <c r="E87" s="246"/>
      <c r="F87" s="246"/>
      <c r="G87" s="246"/>
      <c r="H87" s="246"/>
      <c r="I87" s="246"/>
      <c r="J87" s="333"/>
      <c r="K87" s="14"/>
      <c r="L87" s="22"/>
    </row>
    <row r="88" spans="2:12" ht="18" customHeight="1">
      <c r="B88" s="227" t="s">
        <v>83</v>
      </c>
      <c r="C88" s="228"/>
      <c r="D88" s="228"/>
      <c r="E88" s="281">
        <f>Hoja1!C40/'vinif_cabernet-sauvi_rm-2014'!E86</f>
        <v>199.79863529411764</v>
      </c>
      <c r="F88" s="281"/>
      <c r="G88" s="282">
        <f>$J$71/G86</f>
        <v>183.01077176470588</v>
      </c>
      <c r="H88" s="282"/>
      <c r="I88" s="281">
        <f>Hoja1!D40/'vinif_cabernet-sauvi_rm-2014'!I86</f>
        <v>170.0176823529412</v>
      </c>
      <c r="J88" s="330"/>
      <c r="K88" s="14"/>
      <c r="L88" s="22"/>
    </row>
    <row r="89" spans="2:12" ht="18" customHeight="1">
      <c r="B89" s="229"/>
      <c r="C89" s="230"/>
      <c r="D89" s="230"/>
      <c r="E89" s="282"/>
      <c r="F89" s="282"/>
      <c r="G89" s="282"/>
      <c r="H89" s="282"/>
      <c r="I89" s="282"/>
      <c r="J89" s="331"/>
      <c r="K89" s="14"/>
      <c r="L89" s="22"/>
    </row>
    <row r="90" spans="2:12" ht="18" customHeight="1">
      <c r="B90" s="42"/>
      <c r="C90" s="1"/>
      <c r="D90" s="3"/>
      <c r="E90" s="3"/>
      <c r="F90" s="91"/>
      <c r="G90" s="91"/>
      <c r="H90" s="91"/>
      <c r="I90" s="13"/>
      <c r="J90" s="13"/>
      <c r="K90" s="14"/>
      <c r="L90" s="22"/>
    </row>
    <row r="91" spans="2:11" s="3" customFormat="1" ht="18" customHeight="1">
      <c r="B91" s="283" t="s">
        <v>21</v>
      </c>
      <c r="C91" s="284"/>
      <c r="D91" s="284"/>
      <c r="E91" s="284"/>
      <c r="F91" s="284"/>
      <c r="G91" s="284"/>
      <c r="H91" s="284"/>
      <c r="I91" s="284"/>
      <c r="J91" s="285"/>
      <c r="K91" s="76"/>
    </row>
    <row r="92" spans="2:14" s="3" customFormat="1" ht="18" customHeight="1">
      <c r="B92" s="224" t="s">
        <v>105</v>
      </c>
      <c r="C92" s="225"/>
      <c r="D92" s="225"/>
      <c r="E92" s="225"/>
      <c r="F92" s="225"/>
      <c r="G92" s="225"/>
      <c r="H92" s="225"/>
      <c r="I92" s="225"/>
      <c r="J92" s="226"/>
      <c r="K92" s="76"/>
      <c r="N92" s="92"/>
    </row>
    <row r="93" spans="2:14" s="3" customFormat="1" ht="17.25" customHeight="1">
      <c r="B93" s="224" t="s">
        <v>92</v>
      </c>
      <c r="C93" s="225"/>
      <c r="D93" s="225"/>
      <c r="E93" s="225"/>
      <c r="F93" s="225"/>
      <c r="G93" s="225"/>
      <c r="H93" s="225"/>
      <c r="I93" s="225"/>
      <c r="J93" s="226"/>
      <c r="K93" s="76"/>
      <c r="N93" s="92"/>
    </row>
    <row r="94" spans="2:11" s="3" customFormat="1" ht="30" customHeight="1">
      <c r="B94" s="327" t="s">
        <v>84</v>
      </c>
      <c r="C94" s="328"/>
      <c r="D94" s="328"/>
      <c r="E94" s="328"/>
      <c r="F94" s="328"/>
      <c r="G94" s="328"/>
      <c r="H94" s="328"/>
      <c r="I94" s="328"/>
      <c r="J94" s="329"/>
      <c r="K94" s="77"/>
    </row>
    <row r="95" spans="2:11" s="3" customFormat="1" ht="18" customHeight="1">
      <c r="B95" s="224" t="s">
        <v>85</v>
      </c>
      <c r="C95" s="225"/>
      <c r="D95" s="225"/>
      <c r="E95" s="225"/>
      <c r="F95" s="225"/>
      <c r="G95" s="225"/>
      <c r="H95" s="225"/>
      <c r="I95" s="225"/>
      <c r="J95" s="226"/>
      <c r="K95" s="76"/>
    </row>
    <row r="96" spans="2:11" s="3" customFormat="1" ht="18" customHeight="1">
      <c r="B96" s="224" t="s">
        <v>86</v>
      </c>
      <c r="C96" s="225"/>
      <c r="D96" s="225"/>
      <c r="E96" s="225"/>
      <c r="F96" s="225"/>
      <c r="G96" s="225"/>
      <c r="H96" s="225"/>
      <c r="I96" s="225"/>
      <c r="J96" s="226"/>
      <c r="K96" s="76"/>
    </row>
    <row r="97" spans="2:11" s="3" customFormat="1" ht="17.25" customHeight="1">
      <c r="B97" s="316" t="s">
        <v>87</v>
      </c>
      <c r="C97" s="317"/>
      <c r="D97" s="317"/>
      <c r="E97" s="317"/>
      <c r="F97" s="317"/>
      <c r="G97" s="317"/>
      <c r="H97" s="317"/>
      <c r="I97" s="317"/>
      <c r="J97" s="318"/>
      <c r="K97" s="76"/>
    </row>
    <row r="98" spans="2:11" s="3" customFormat="1" ht="18" customHeight="1">
      <c r="B98" s="324" t="s">
        <v>88</v>
      </c>
      <c r="C98" s="325"/>
      <c r="D98" s="325"/>
      <c r="E98" s="325"/>
      <c r="F98" s="325"/>
      <c r="G98" s="325"/>
      <c r="H98" s="325"/>
      <c r="I98" s="325"/>
      <c r="J98" s="326"/>
      <c r="K98" s="77"/>
    </row>
    <row r="99" spans="2:11" s="3" customFormat="1" ht="18" customHeight="1">
      <c r="B99" s="142"/>
      <c r="C99" s="142"/>
      <c r="D99" s="142"/>
      <c r="E99" s="142"/>
      <c r="F99" s="142"/>
      <c r="G99" s="142"/>
      <c r="H99" s="142"/>
      <c r="I99" s="142"/>
      <c r="J99" s="142"/>
      <c r="K99" s="77"/>
    </row>
    <row r="100" spans="2:11" s="3" customFormat="1" ht="18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1"/>
    </row>
    <row r="101" spans="2:11" s="3" customFormat="1" ht="16.5" customHeight="1">
      <c r="B101" s="35"/>
      <c r="C101" s="35"/>
      <c r="D101" s="35"/>
      <c r="E101" s="35"/>
      <c r="F101" s="35"/>
      <c r="G101" s="36"/>
      <c r="H101" s="35"/>
      <c r="I101" s="35"/>
      <c r="J101" s="35"/>
      <c r="K101" s="9"/>
    </row>
    <row r="102" spans="2:11" s="3" customFormat="1" ht="15">
      <c r="B102" s="4"/>
      <c r="C102" s="4"/>
      <c r="D102" s="4"/>
      <c r="E102" s="4"/>
      <c r="F102" s="4"/>
      <c r="G102" s="5"/>
      <c r="H102" s="4"/>
      <c r="I102" s="4"/>
      <c r="J102" s="4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2" s="3" customFormat="1" ht="15">
      <c r="B106" s="63"/>
      <c r="C106" s="63"/>
      <c r="D106" s="63"/>
      <c r="E106" s="63"/>
      <c r="F106" s="63"/>
      <c r="G106" s="64"/>
      <c r="H106" s="63"/>
      <c r="I106" s="63"/>
      <c r="J106" s="63"/>
      <c r="K106" s="65"/>
      <c r="L106" s="63"/>
    </row>
    <row r="107" spans="2:12" s="3" customFormat="1" ht="15">
      <c r="B107" s="63"/>
      <c r="C107" s="63"/>
      <c r="D107" s="63"/>
      <c r="E107" s="63"/>
      <c r="F107" s="63"/>
      <c r="G107" s="64"/>
      <c r="H107" s="63"/>
      <c r="I107" s="63"/>
      <c r="J107" s="63"/>
      <c r="K107" s="65"/>
      <c r="L107" s="63"/>
    </row>
    <row r="108" spans="2:12" s="3" customFormat="1" ht="15">
      <c r="B108" s="63"/>
      <c r="C108" s="63"/>
      <c r="D108" s="63"/>
      <c r="E108" s="63"/>
      <c r="F108" s="63"/>
      <c r="G108" s="64"/>
      <c r="H108" s="63"/>
      <c r="I108" s="63"/>
      <c r="J108" s="63"/>
      <c r="K108" s="65"/>
      <c r="L108" s="63"/>
    </row>
    <row r="109" spans="2:12" s="3" customFormat="1" ht="15">
      <c r="B109" s="63"/>
      <c r="C109" s="63"/>
      <c r="D109" s="63"/>
      <c r="E109" s="63"/>
      <c r="F109" s="63"/>
      <c r="G109" s="64"/>
      <c r="H109" s="63"/>
      <c r="I109" s="63"/>
      <c r="J109" s="63"/>
      <c r="K109" s="65"/>
      <c r="L109" s="63"/>
    </row>
    <row r="110" spans="2:12" ht="18">
      <c r="B110" s="52"/>
      <c r="C110" s="52"/>
      <c r="D110" s="53"/>
      <c r="E110" s="53"/>
      <c r="F110" s="54"/>
      <c r="G110" s="54"/>
      <c r="H110" s="54"/>
      <c r="I110" s="63"/>
      <c r="J110" s="63"/>
      <c r="K110" s="65"/>
      <c r="L110" s="63"/>
    </row>
    <row r="111" spans="2:12" ht="18">
      <c r="B111" s="52"/>
      <c r="C111" s="55"/>
      <c r="D111" s="55"/>
      <c r="E111" s="56"/>
      <c r="F111" s="55"/>
      <c r="G111" s="57"/>
      <c r="H111" s="58"/>
      <c r="I111" s="63"/>
      <c r="J111" s="63"/>
      <c r="K111" s="65"/>
      <c r="L111" s="63"/>
    </row>
    <row r="112" spans="2:12" ht="18">
      <c r="B112" s="53"/>
      <c r="C112" s="53"/>
      <c r="D112" s="53"/>
      <c r="E112" s="53"/>
      <c r="F112" s="53"/>
      <c r="G112" s="53"/>
      <c r="H112" s="53"/>
      <c r="I112" s="63"/>
      <c r="J112" s="63"/>
      <c r="K112" s="65"/>
      <c r="L112" s="63"/>
    </row>
    <row r="113" spans="2:12" ht="18">
      <c r="B113" s="52"/>
      <c r="C113" s="53"/>
      <c r="D113" s="53"/>
      <c r="E113" s="53"/>
      <c r="F113" s="53"/>
      <c r="G113" s="53"/>
      <c r="H113" s="53"/>
      <c r="I113" s="63"/>
      <c r="J113" s="63"/>
      <c r="K113" s="65"/>
      <c r="L113" s="63"/>
    </row>
    <row r="114" spans="2:12" ht="18">
      <c r="B114" s="66"/>
      <c r="C114" s="67"/>
      <c r="D114" s="67"/>
      <c r="E114" s="59"/>
      <c r="F114" s="59"/>
      <c r="G114" s="59"/>
      <c r="H114" s="59"/>
      <c r="I114" s="63"/>
      <c r="J114" s="65"/>
      <c r="K114" s="65"/>
      <c r="L114" s="63"/>
    </row>
    <row r="115" spans="2:12" ht="18">
      <c r="B115" s="66"/>
      <c r="C115" s="67"/>
      <c r="D115" s="67"/>
      <c r="E115" s="59"/>
      <c r="F115" s="59"/>
      <c r="G115" s="59"/>
      <c r="H115" s="59"/>
      <c r="I115" s="63"/>
      <c r="J115" s="65"/>
      <c r="K115" s="65"/>
      <c r="L115" s="63"/>
    </row>
    <row r="116" spans="2:12" ht="18">
      <c r="B116" s="60"/>
      <c r="C116" s="61"/>
      <c r="D116" s="61"/>
      <c r="E116" s="60"/>
      <c r="F116" s="60"/>
      <c r="G116" s="60"/>
      <c r="H116" s="62"/>
      <c r="I116" s="63"/>
      <c r="J116" s="63"/>
      <c r="K116" s="65"/>
      <c r="L116" s="63"/>
    </row>
    <row r="117" spans="2:12" ht="18">
      <c r="B117" s="53"/>
      <c r="C117" s="53"/>
      <c r="D117" s="53"/>
      <c r="E117" s="53"/>
      <c r="F117" s="53"/>
      <c r="G117" s="53"/>
      <c r="H117" s="53"/>
      <c r="I117" s="63"/>
      <c r="J117" s="63"/>
      <c r="K117" s="65"/>
      <c r="L117" s="63"/>
    </row>
    <row r="118" spans="2:12" ht="18">
      <c r="B118" s="52"/>
      <c r="C118" s="53"/>
      <c r="D118" s="53"/>
      <c r="E118" s="53"/>
      <c r="F118" s="53"/>
      <c r="G118" s="53"/>
      <c r="H118" s="53"/>
      <c r="I118" s="63"/>
      <c r="J118" s="63"/>
      <c r="K118" s="65"/>
      <c r="L118" s="63"/>
    </row>
    <row r="119" spans="2:12" ht="18">
      <c r="B119" s="68"/>
      <c r="C119" s="69"/>
      <c r="D119" s="70"/>
      <c r="E119" s="71"/>
      <c r="F119" s="70"/>
      <c r="G119" s="72"/>
      <c r="H119" s="72"/>
      <c r="I119" s="63"/>
      <c r="J119" s="63"/>
      <c r="K119" s="65"/>
      <c r="L119" s="63"/>
    </row>
    <row r="120" spans="2:12" ht="18">
      <c r="B120" s="68"/>
      <c r="C120" s="69"/>
      <c r="D120" s="70"/>
      <c r="E120" s="71"/>
      <c r="F120" s="70"/>
      <c r="G120" s="72"/>
      <c r="H120" s="72"/>
      <c r="I120" s="63"/>
      <c r="J120" s="63"/>
      <c r="K120" s="65"/>
      <c r="L120" s="63"/>
    </row>
    <row r="121" spans="2:12" ht="18">
      <c r="B121" s="278"/>
      <c r="C121" s="278"/>
      <c r="D121" s="70"/>
      <c r="E121" s="71"/>
      <c r="F121" s="70"/>
      <c r="G121" s="72"/>
      <c r="H121" s="72"/>
      <c r="I121" s="63"/>
      <c r="J121" s="63"/>
      <c r="K121" s="65"/>
      <c r="L121" s="63"/>
    </row>
    <row r="122" spans="2:12" ht="18">
      <c r="B122" s="68"/>
      <c r="C122" s="69"/>
      <c r="D122" s="70"/>
      <c r="E122" s="71"/>
      <c r="F122" s="70"/>
      <c r="G122" s="72"/>
      <c r="H122" s="72"/>
      <c r="I122" s="63"/>
      <c r="J122" s="63"/>
      <c r="K122" s="65"/>
      <c r="L122" s="63"/>
    </row>
    <row r="123" spans="2:12" ht="18">
      <c r="B123" s="68"/>
      <c r="C123" s="69"/>
      <c r="D123" s="70"/>
      <c r="E123" s="71"/>
      <c r="F123" s="70"/>
      <c r="G123" s="72"/>
      <c r="H123" s="72"/>
      <c r="I123" s="63"/>
      <c r="J123" s="63"/>
      <c r="K123" s="65"/>
      <c r="L123" s="63"/>
    </row>
    <row r="124" spans="2:12" ht="18">
      <c r="B124" s="68"/>
      <c r="C124" s="69"/>
      <c r="D124" s="70"/>
      <c r="E124" s="71"/>
      <c r="F124" s="70"/>
      <c r="G124" s="72"/>
      <c r="H124" s="72"/>
      <c r="I124" s="63"/>
      <c r="J124" s="63"/>
      <c r="K124" s="65"/>
      <c r="L124" s="63"/>
    </row>
    <row r="125" spans="2:12" ht="18">
      <c r="B125" s="68"/>
      <c r="C125" s="69"/>
      <c r="D125" s="70"/>
      <c r="E125" s="71"/>
      <c r="F125" s="70"/>
      <c r="G125" s="72"/>
      <c r="H125" s="72"/>
      <c r="I125" s="63"/>
      <c r="J125" s="63"/>
      <c r="K125" s="65"/>
      <c r="L125" s="63"/>
    </row>
    <row r="126" spans="2:12" ht="18">
      <c r="B126" s="68"/>
      <c r="C126" s="69"/>
      <c r="D126" s="70"/>
      <c r="E126" s="71"/>
      <c r="F126" s="70"/>
      <c r="G126" s="72"/>
      <c r="H126" s="72"/>
      <c r="I126" s="63"/>
      <c r="J126" s="63"/>
      <c r="K126" s="65"/>
      <c r="L126" s="63"/>
    </row>
    <row r="127" spans="2:12" ht="18">
      <c r="B127" s="68"/>
      <c r="C127" s="69"/>
      <c r="D127" s="70"/>
      <c r="E127" s="71"/>
      <c r="F127" s="70"/>
      <c r="G127" s="72"/>
      <c r="H127" s="72"/>
      <c r="I127" s="63"/>
      <c r="J127" s="63"/>
      <c r="K127" s="65"/>
      <c r="L127" s="63"/>
    </row>
    <row r="128" spans="2:12" ht="18">
      <c r="B128" s="68"/>
      <c r="C128" s="69"/>
      <c r="D128" s="70"/>
      <c r="E128" s="71"/>
      <c r="F128" s="70"/>
      <c r="G128" s="72"/>
      <c r="H128" s="72"/>
      <c r="I128" s="63"/>
      <c r="J128" s="63"/>
      <c r="K128" s="65"/>
      <c r="L128" s="63"/>
    </row>
    <row r="129" spans="2:12" ht="18">
      <c r="B129" s="68"/>
      <c r="C129" s="69"/>
      <c r="D129" s="70"/>
      <c r="E129" s="71"/>
      <c r="F129" s="70"/>
      <c r="G129" s="72"/>
      <c r="H129" s="72"/>
      <c r="I129" s="63"/>
      <c r="J129" s="63"/>
      <c r="K129" s="65"/>
      <c r="L129" s="63"/>
    </row>
    <row r="130" spans="2:12" ht="18">
      <c r="B130" s="68"/>
      <c r="C130" s="69"/>
      <c r="D130" s="70"/>
      <c r="E130" s="71"/>
      <c r="F130" s="70"/>
      <c r="G130" s="72"/>
      <c r="H130" s="72"/>
      <c r="I130" s="63"/>
      <c r="J130" s="63"/>
      <c r="K130" s="65"/>
      <c r="L130" s="63"/>
    </row>
    <row r="131" spans="2:12" ht="18">
      <c r="B131" s="68"/>
      <c r="C131" s="69"/>
      <c r="D131" s="70"/>
      <c r="E131" s="71"/>
      <c r="F131" s="70"/>
      <c r="G131" s="72"/>
      <c r="H131" s="72"/>
      <c r="I131" s="63"/>
      <c r="J131" s="63"/>
      <c r="K131" s="65"/>
      <c r="L131" s="63"/>
    </row>
    <row r="132" spans="2:12" ht="18">
      <c r="B132" s="60"/>
      <c r="C132" s="61"/>
      <c r="D132" s="61"/>
      <c r="E132" s="60"/>
      <c r="F132" s="60"/>
      <c r="G132" s="60"/>
      <c r="H132" s="62"/>
      <c r="I132" s="63"/>
      <c r="J132" s="63"/>
      <c r="K132" s="65"/>
      <c r="L132" s="63"/>
    </row>
    <row r="133" spans="2:12" ht="18">
      <c r="B133" s="53"/>
      <c r="C133" s="53"/>
      <c r="D133" s="53"/>
      <c r="E133" s="53"/>
      <c r="F133" s="53"/>
      <c r="G133" s="53"/>
      <c r="H133" s="53"/>
      <c r="I133" s="63"/>
      <c r="J133" s="63"/>
      <c r="K133" s="65"/>
      <c r="L133" s="63"/>
    </row>
    <row r="134" spans="2:12" ht="18">
      <c r="B134" s="60"/>
      <c r="C134" s="61"/>
      <c r="D134" s="61"/>
      <c r="E134" s="60"/>
      <c r="F134" s="60"/>
      <c r="G134" s="60"/>
      <c r="H134" s="62"/>
      <c r="I134" s="63"/>
      <c r="J134" s="63"/>
      <c r="K134" s="65"/>
      <c r="L134" s="63"/>
    </row>
    <row r="135" spans="2:12" s="3" customFormat="1" ht="15">
      <c r="B135" s="63"/>
      <c r="C135" s="63"/>
      <c r="D135" s="63"/>
      <c r="E135" s="63"/>
      <c r="F135" s="63"/>
      <c r="G135" s="64"/>
      <c r="H135" s="63"/>
      <c r="I135" s="63"/>
      <c r="J135" s="63"/>
      <c r="K135" s="65"/>
      <c r="L135" s="63"/>
    </row>
    <row r="136" spans="2:12" s="3" customFormat="1" ht="15">
      <c r="B136" s="63"/>
      <c r="C136" s="63"/>
      <c r="D136" s="63"/>
      <c r="E136" s="63"/>
      <c r="F136" s="63"/>
      <c r="G136" s="64"/>
      <c r="H136" s="63"/>
      <c r="I136" s="63"/>
      <c r="J136" s="63"/>
      <c r="K136" s="65"/>
      <c r="L136" s="63"/>
    </row>
    <row r="137" spans="2:12" s="3" customFormat="1" ht="15">
      <c r="B137" s="63"/>
      <c r="C137" s="63"/>
      <c r="D137" s="63"/>
      <c r="E137" s="63"/>
      <c r="F137" s="63"/>
      <c r="G137" s="64"/>
      <c r="H137" s="63"/>
      <c r="I137" s="63"/>
      <c r="J137" s="63"/>
      <c r="K137" s="65"/>
      <c r="L137" s="63"/>
    </row>
    <row r="138" spans="2:12" s="3" customFormat="1" ht="15">
      <c r="B138" s="63"/>
      <c r="C138" s="63"/>
      <c r="D138" s="63"/>
      <c r="E138" s="63"/>
      <c r="F138" s="63"/>
      <c r="G138" s="64"/>
      <c r="H138" s="63"/>
      <c r="I138" s="63"/>
      <c r="J138" s="63"/>
      <c r="K138" s="65"/>
      <c r="L138" s="63"/>
    </row>
    <row r="139" spans="2:12" s="3" customFormat="1" ht="15">
      <c r="B139" s="63"/>
      <c r="C139" s="63"/>
      <c r="D139" s="63"/>
      <c r="E139" s="63"/>
      <c r="F139" s="63"/>
      <c r="G139" s="64"/>
      <c r="H139" s="63"/>
      <c r="I139" s="63"/>
      <c r="J139" s="63"/>
      <c r="K139" s="65"/>
      <c r="L139" s="63"/>
    </row>
    <row r="140" spans="2:12" s="3" customFormat="1" ht="15">
      <c r="B140" s="63"/>
      <c r="C140" s="63"/>
      <c r="D140" s="63"/>
      <c r="E140" s="63"/>
      <c r="F140" s="63"/>
      <c r="G140" s="64"/>
      <c r="H140" s="63"/>
      <c r="I140" s="63"/>
      <c r="J140" s="63"/>
      <c r="K140" s="65"/>
      <c r="L140" s="63"/>
    </row>
    <row r="141" spans="2:12" s="3" customFormat="1" ht="15">
      <c r="B141" s="63"/>
      <c r="C141" s="63"/>
      <c r="D141" s="63"/>
      <c r="E141" s="63"/>
      <c r="F141" s="63"/>
      <c r="G141" s="64"/>
      <c r="H141" s="63"/>
      <c r="I141" s="63"/>
      <c r="J141" s="63"/>
      <c r="K141" s="65"/>
      <c r="L141" s="63"/>
    </row>
    <row r="142" spans="2:12" s="3" customFormat="1" ht="15">
      <c r="B142" s="63"/>
      <c r="C142" s="63"/>
      <c r="D142" s="63"/>
      <c r="E142" s="63"/>
      <c r="F142" s="63"/>
      <c r="G142" s="64"/>
      <c r="H142" s="63"/>
      <c r="I142" s="63"/>
      <c r="J142" s="63"/>
      <c r="K142" s="65"/>
      <c r="L142" s="63"/>
    </row>
    <row r="143" spans="2:12" s="3" customFormat="1" ht="15">
      <c r="B143" s="63"/>
      <c r="C143" s="63"/>
      <c r="D143" s="63"/>
      <c r="E143" s="63"/>
      <c r="F143" s="63"/>
      <c r="G143" s="64"/>
      <c r="H143" s="63"/>
      <c r="I143" s="63"/>
      <c r="J143" s="63"/>
      <c r="K143" s="65"/>
      <c r="L143" s="63"/>
    </row>
    <row r="144" spans="2:12" s="3" customFormat="1" ht="15">
      <c r="B144" s="63"/>
      <c r="C144" s="63"/>
      <c r="D144" s="63"/>
      <c r="E144" s="63"/>
      <c r="F144" s="63"/>
      <c r="G144" s="64"/>
      <c r="H144" s="63"/>
      <c r="I144" s="63"/>
      <c r="J144" s="63"/>
      <c r="K144" s="65"/>
      <c r="L144" s="63"/>
    </row>
    <row r="145" spans="2:12" s="3" customFormat="1" ht="15">
      <c r="B145" s="73"/>
      <c r="C145" s="73"/>
      <c r="D145" s="73"/>
      <c r="E145" s="73"/>
      <c r="F145" s="73"/>
      <c r="G145" s="64"/>
      <c r="H145" s="63"/>
      <c r="I145" s="63"/>
      <c r="J145" s="63"/>
      <c r="K145" s="65"/>
      <c r="L145" s="63"/>
    </row>
    <row r="146" spans="2:12" s="3" customFormat="1" ht="15">
      <c r="B146" s="63"/>
      <c r="C146" s="63"/>
      <c r="D146" s="63"/>
      <c r="E146" s="63"/>
      <c r="F146" s="63"/>
      <c r="G146" s="64"/>
      <c r="H146" s="63"/>
      <c r="I146" s="63"/>
      <c r="J146" s="63"/>
      <c r="K146" s="65"/>
      <c r="L146" s="63"/>
    </row>
    <row r="147" spans="2:12" s="3" customFormat="1" ht="15">
      <c r="B147" s="63"/>
      <c r="C147" s="63"/>
      <c r="D147" s="63"/>
      <c r="E147" s="63"/>
      <c r="F147" s="63"/>
      <c r="G147" s="64"/>
      <c r="H147" s="63"/>
      <c r="I147" s="63"/>
      <c r="J147" s="63"/>
      <c r="K147" s="65"/>
      <c r="L147" s="63"/>
    </row>
    <row r="148" spans="2:12" s="3" customFormat="1" ht="15">
      <c r="B148" s="63"/>
      <c r="C148" s="65"/>
      <c r="D148" s="65"/>
      <c r="E148" s="65"/>
      <c r="F148" s="65"/>
      <c r="G148" s="64"/>
      <c r="H148" s="63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3"/>
      <c r="D150" s="63"/>
      <c r="E150" s="63"/>
      <c r="F150" s="63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5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5"/>
      <c r="D155" s="65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3"/>
      <c r="D157" s="63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4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3"/>
      <c r="D162" s="63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3"/>
      <c r="D163" s="63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3"/>
      <c r="D164" s="63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5">
      <c r="B168" s="65"/>
      <c r="C168" s="65"/>
      <c r="D168" s="65"/>
      <c r="E168" s="65"/>
      <c r="F168" s="65"/>
      <c r="G168" s="65"/>
      <c r="H168" s="65"/>
      <c r="I168" s="65"/>
      <c r="J168" s="63"/>
      <c r="K168" s="65"/>
      <c r="L168" s="63"/>
    </row>
    <row r="169" spans="2:12" s="3" customFormat="1" ht="15">
      <c r="B169" s="65"/>
      <c r="C169" s="65"/>
      <c r="D169" s="65"/>
      <c r="E169" s="65"/>
      <c r="F169" s="65"/>
      <c r="G169" s="74"/>
      <c r="H169" s="65"/>
      <c r="I169" s="65"/>
      <c r="J169" s="63"/>
      <c r="K169" s="65"/>
      <c r="L169" s="74"/>
    </row>
    <row r="170" spans="2:12" s="3" customFormat="1" ht="15">
      <c r="B170" s="65"/>
      <c r="C170" s="65"/>
      <c r="D170" s="65"/>
      <c r="E170" s="65"/>
      <c r="F170" s="65"/>
      <c r="G170" s="65"/>
      <c r="H170" s="65"/>
      <c r="I170" s="75"/>
      <c r="J170" s="63"/>
      <c r="K170" s="65"/>
      <c r="L170" s="63"/>
    </row>
    <row r="171" spans="2:12" s="3" customFormat="1" ht="15">
      <c r="B171" s="63"/>
      <c r="C171" s="63"/>
      <c r="D171" s="63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5">
      <c r="B177" s="63"/>
      <c r="C177" s="63"/>
      <c r="D177" s="63"/>
      <c r="E177" s="63"/>
      <c r="F177" s="63"/>
      <c r="G177" s="64"/>
      <c r="H177" s="65"/>
      <c r="I177" s="65"/>
      <c r="J177" s="63"/>
      <c r="K177" s="65"/>
      <c r="L177" s="63"/>
    </row>
    <row r="178" spans="2:12" s="3" customFormat="1" ht="15">
      <c r="B178" s="63"/>
      <c r="C178" s="63"/>
      <c r="D178" s="63"/>
      <c r="E178" s="63"/>
      <c r="F178" s="63"/>
      <c r="G178" s="64"/>
      <c r="H178" s="65"/>
      <c r="I178" s="65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5"/>
      <c r="I179" s="65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3"/>
      <c r="C184" s="63"/>
      <c r="D184" s="63"/>
      <c r="E184" s="63"/>
      <c r="F184" s="63"/>
      <c r="G184" s="64"/>
      <c r="H184" s="63"/>
      <c r="I184" s="63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3"/>
      <c r="I185" s="63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5"/>
      <c r="I186" s="65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5"/>
      <c r="I187" s="65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5"/>
      <c r="I188" s="65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3"/>
      <c r="I193" s="63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3"/>
      <c r="I194" s="63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3"/>
      <c r="I195" s="63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3"/>
      <c r="I196" s="63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3"/>
      <c r="I202" s="63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</sheetData>
  <sheetProtection/>
  <mergeCells count="104">
    <mergeCell ref="D5:J5"/>
    <mergeCell ref="E37:F37"/>
    <mergeCell ref="B35:D35"/>
    <mergeCell ref="G8:H8"/>
    <mergeCell ref="G9:I9"/>
    <mergeCell ref="G10:H10"/>
    <mergeCell ref="G11:H11"/>
    <mergeCell ref="D9:E9"/>
    <mergeCell ref="D10:F10"/>
    <mergeCell ref="E30:F30"/>
    <mergeCell ref="G88:H89"/>
    <mergeCell ref="E29:F29"/>
    <mergeCell ref="B98:J98"/>
    <mergeCell ref="B96:J96"/>
    <mergeCell ref="B94:J94"/>
    <mergeCell ref="I88:J89"/>
    <mergeCell ref="I86:J87"/>
    <mergeCell ref="I79:J79"/>
    <mergeCell ref="B44:C44"/>
    <mergeCell ref="B97:J97"/>
    <mergeCell ref="B21:D21"/>
    <mergeCell ref="D2:J2"/>
    <mergeCell ref="E35:F35"/>
    <mergeCell ref="B32:I32"/>
    <mergeCell ref="B41:D41"/>
    <mergeCell ref="E28:F28"/>
    <mergeCell ref="E27:F27"/>
    <mergeCell ref="B15:D15"/>
    <mergeCell ref="B34:D34"/>
    <mergeCell ref="B95:J95"/>
    <mergeCell ref="D7:J7"/>
    <mergeCell ref="E20:F20"/>
    <mergeCell ref="E23:F23"/>
    <mergeCell ref="E24:F24"/>
    <mergeCell ref="E25:F25"/>
    <mergeCell ref="E26:F26"/>
    <mergeCell ref="B13:E13"/>
    <mergeCell ref="G13:J13"/>
    <mergeCell ref="E21:F21"/>
    <mergeCell ref="E22:F22"/>
    <mergeCell ref="E41:F41"/>
    <mergeCell ref="L68:O68"/>
    <mergeCell ref="E49:F49"/>
    <mergeCell ref="E58:F58"/>
    <mergeCell ref="E53:F53"/>
    <mergeCell ref="E56:F56"/>
    <mergeCell ref="E48:F48"/>
    <mergeCell ref="E44:F44"/>
    <mergeCell ref="E38:F38"/>
    <mergeCell ref="B37:D37"/>
    <mergeCell ref="B71:I72"/>
    <mergeCell ref="B74:J74"/>
    <mergeCell ref="E57:F57"/>
    <mergeCell ref="E68:F68"/>
    <mergeCell ref="E59:F59"/>
    <mergeCell ref="E64:F64"/>
    <mergeCell ref="B60:I60"/>
    <mergeCell ref="B62:I62"/>
    <mergeCell ref="E50:F50"/>
    <mergeCell ref="B121:C121"/>
    <mergeCell ref="B92:J92"/>
    <mergeCell ref="B68:D68"/>
    <mergeCell ref="B80:D80"/>
    <mergeCell ref="E77:F77"/>
    <mergeCell ref="E88:F89"/>
    <mergeCell ref="G86:H87"/>
    <mergeCell ref="B79:D79"/>
    <mergeCell ref="E79:F79"/>
    <mergeCell ref="B91:J91"/>
    <mergeCell ref="B76:D77"/>
    <mergeCell ref="E76:J76"/>
    <mergeCell ref="I77:J77"/>
    <mergeCell ref="I80:J80"/>
    <mergeCell ref="G78:H78"/>
    <mergeCell ref="B78:D78"/>
    <mergeCell ref="D3:J3"/>
    <mergeCell ref="D4:J4"/>
    <mergeCell ref="E47:F47"/>
    <mergeCell ref="B39:I39"/>
    <mergeCell ref="E31:F31"/>
    <mergeCell ref="E34:F34"/>
    <mergeCell ref="B47:D47"/>
    <mergeCell ref="B42:D42"/>
    <mergeCell ref="E42:F42"/>
    <mergeCell ref="E43:F43"/>
    <mergeCell ref="B86:D87"/>
    <mergeCell ref="I78:J78"/>
    <mergeCell ref="E86:F87"/>
    <mergeCell ref="E67:F67"/>
    <mergeCell ref="B84:J85"/>
    <mergeCell ref="G77:H77"/>
    <mergeCell ref="E78:F78"/>
    <mergeCell ref="G79:H79"/>
    <mergeCell ref="E80:F80"/>
    <mergeCell ref="B75:J75"/>
    <mergeCell ref="B93:J93"/>
    <mergeCell ref="B88:D89"/>
    <mergeCell ref="B69:I69"/>
    <mergeCell ref="B67:D67"/>
    <mergeCell ref="G80:H80"/>
    <mergeCell ref="E36:F36"/>
    <mergeCell ref="E45:F45"/>
    <mergeCell ref="E51:F51"/>
    <mergeCell ref="J71:J7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3" t="s">
        <v>23</v>
      </c>
      <c r="C2" s="46">
        <f>(('vinif_cabernet-sauvi_rm-2014'!E14-45000)/45000)+1</f>
        <v>0.18888888888888888</v>
      </c>
    </row>
    <row r="3" ht="18">
      <c r="B3" s="11"/>
    </row>
    <row r="4" spans="2:3" ht="18">
      <c r="B4" s="342" t="s">
        <v>24</v>
      </c>
      <c r="C4" s="342"/>
    </row>
    <row r="5" spans="2:5" ht="18">
      <c r="B5" s="78" t="s">
        <v>41</v>
      </c>
      <c r="C5" s="114"/>
      <c r="D5" s="79"/>
      <c r="E5" s="3">
        <v>45000</v>
      </c>
    </row>
    <row r="6" spans="2:4" ht="15">
      <c r="B6" s="24"/>
      <c r="C6" s="24"/>
      <c r="D6" s="24"/>
    </row>
    <row r="14" spans="2:4" ht="15">
      <c r="B14" s="343" t="s">
        <v>20</v>
      </c>
      <c r="C14" s="343"/>
      <c r="D14" s="343"/>
    </row>
    <row r="16" spans="2:4" ht="18">
      <c r="B16" s="45" t="s">
        <v>22</v>
      </c>
      <c r="C16" s="44">
        <f>'vinif_cabernet-sauvi_rm-2014'!B78</f>
        <v>7650</v>
      </c>
      <c r="D16" s="44">
        <f>'vinif_cabernet-sauvi_rm-2014'!B80</f>
        <v>9350</v>
      </c>
    </row>
    <row r="17" ht="15">
      <c r="B17" s="22"/>
    </row>
    <row r="18" spans="2:4" ht="15">
      <c r="B18" s="43" t="s">
        <v>23</v>
      </c>
      <c r="C18" s="46">
        <f>((C16-'vinif_cabernet-sauvi_rm-2014'!E14)/'vinif_cabernet-sauvi_rm-2014'!E14)+1</f>
        <v>0.9</v>
      </c>
      <c r="D18" s="46">
        <f>((D16-'vinif_cabernet-sauvi_rm-2014'!E14)/'vinif_cabernet-sauvi_rm-2014'!E14)+1</f>
        <v>1.1</v>
      </c>
    </row>
    <row r="19" spans="2:4" ht="18">
      <c r="B19" s="15"/>
      <c r="C19" s="44"/>
      <c r="D19" s="44"/>
    </row>
    <row r="20" spans="2:4" ht="18">
      <c r="B20" s="45" t="s">
        <v>12</v>
      </c>
      <c r="C20" s="44"/>
      <c r="D20" s="44"/>
    </row>
    <row r="21" spans="2:4" ht="18">
      <c r="B21" s="15" t="s">
        <v>25</v>
      </c>
      <c r="C21" s="9">
        <f>SUM('vinif_cabernet-sauvi_rm-2014'!J22:J30)</f>
        <v>424020</v>
      </c>
      <c r="D21" s="9">
        <f>SUM('vinif_cabernet-sauvi_rm-2014'!J22:J30)</f>
        <v>424020</v>
      </c>
    </row>
    <row r="22" spans="2:4" ht="18">
      <c r="B22" s="47" t="s">
        <v>26</v>
      </c>
      <c r="C22" s="48">
        <f>C18*'vinif_cabernet-sauvi_rm-2014'!G31*'vinif_cabernet-sauvi_rm-2014'!I31</f>
        <v>214200</v>
      </c>
      <c r="D22" s="48">
        <f>D18*'vinif_cabernet-sauvi_rm-2014'!G31*'vinif_cabernet-sauvi_rm-2014'!I31</f>
        <v>261800</v>
      </c>
    </row>
    <row r="23" spans="2:4" ht="18">
      <c r="B23" s="15" t="s">
        <v>27</v>
      </c>
      <c r="C23" s="9">
        <f>SUM(C21:C22)</f>
        <v>638220</v>
      </c>
      <c r="D23" s="9">
        <f>SUM(D21:D22)</f>
        <v>685820</v>
      </c>
    </row>
    <row r="24" ht="18">
      <c r="B24" s="15"/>
    </row>
    <row r="25" ht="18">
      <c r="B25" s="45" t="s">
        <v>14</v>
      </c>
    </row>
    <row r="26" spans="2:4" ht="18">
      <c r="B26" s="15" t="s">
        <v>25</v>
      </c>
      <c r="C26" s="9">
        <f>SUM('vinif_cabernet-sauvi_rm-2014'!J35:J38)</f>
        <v>257500</v>
      </c>
      <c r="D26" s="9">
        <f>SUM('vinif_cabernet-sauvi_rm-2014'!J35:J38)</f>
        <v>257500</v>
      </c>
    </row>
    <row r="27" spans="2:4" ht="18">
      <c r="B27" s="47" t="s">
        <v>26</v>
      </c>
      <c r="C27" s="48">
        <v>0</v>
      </c>
      <c r="D27" s="48">
        <v>0</v>
      </c>
    </row>
    <row r="28" spans="2:4" ht="18">
      <c r="B28" s="15" t="s">
        <v>27</v>
      </c>
      <c r="C28" s="9">
        <f>SUM(C26:C27)</f>
        <v>257500</v>
      </c>
      <c r="D28" s="9">
        <f>SUM(D26:D27)</f>
        <v>257500</v>
      </c>
    </row>
    <row r="30" ht="18">
      <c r="B30" s="45" t="s">
        <v>28</v>
      </c>
    </row>
    <row r="31" spans="2:4" ht="18">
      <c r="B31" s="15" t="s">
        <v>25</v>
      </c>
      <c r="C31" s="9">
        <f>SUM('vinif_cabernet-sauvi_rm-2014'!J42:J59)</f>
        <v>445034</v>
      </c>
      <c r="D31" s="9">
        <f>SUM('vinif_cabernet-sauvi_rm-2014'!J42:J59)</f>
        <v>445034</v>
      </c>
    </row>
    <row r="32" spans="2:4" ht="18">
      <c r="B32" s="47" t="s">
        <v>26</v>
      </c>
      <c r="C32" s="48">
        <v>0</v>
      </c>
      <c r="D32" s="48">
        <v>0</v>
      </c>
    </row>
    <row r="33" spans="2:4" ht="18">
      <c r="B33" s="15" t="s">
        <v>27</v>
      </c>
      <c r="C33" s="9">
        <f>SUM(C31:C32)</f>
        <v>445034</v>
      </c>
      <c r="D33" s="9">
        <f>SUM(D31:D32)</f>
        <v>445034</v>
      </c>
    </row>
    <row r="34" spans="2:4" ht="15">
      <c r="B34" s="22"/>
      <c r="C34" s="26"/>
      <c r="D34" s="26"/>
    </row>
    <row r="35" spans="2:4" ht="18">
      <c r="B35" s="50" t="s">
        <v>29</v>
      </c>
      <c r="C35" s="51">
        <f>C23+C28+C33</f>
        <v>1340754</v>
      </c>
      <c r="D35" s="51">
        <f>D23+D28+D33</f>
        <v>1388354</v>
      </c>
    </row>
    <row r="36" ht="15">
      <c r="B36" s="22"/>
    </row>
    <row r="37" spans="2:4" ht="18">
      <c r="B37" s="49" t="s">
        <v>0</v>
      </c>
      <c r="C37" s="9">
        <f>C35*'vinif_cabernet-sauvi_rm-2014'!G64</f>
        <v>67037.7</v>
      </c>
      <c r="D37" s="9">
        <f>D35*D18*'vinif_cabernet-sauvi_rm-2014'!G64</f>
        <v>76359.47000000002</v>
      </c>
    </row>
    <row r="38" spans="2:4" ht="18">
      <c r="B38" s="49" t="s">
        <v>18</v>
      </c>
      <c r="C38" s="9">
        <f>C35*'vinif_cabernet-sauvi_rm-2014'!E17*'vinif_cabernet-sauvi_rm-2014'!E18*0.5</f>
        <v>120667.85999999999</v>
      </c>
      <c r="D38" s="9">
        <f>D35*'vinif_cabernet-sauvi_rm-2014'!E17*'vinif_cabernet-sauvi_rm-2014'!E18*0.5</f>
        <v>124951.85999999999</v>
      </c>
    </row>
    <row r="39" ht="15">
      <c r="B39" s="22"/>
    </row>
    <row r="40" spans="2:4" ht="18">
      <c r="B40" s="50" t="s">
        <v>19</v>
      </c>
      <c r="C40" s="51">
        <f>C35+C37+C38</f>
        <v>1528459.56</v>
      </c>
      <c r="D40" s="51">
        <f>D35+D37+D38</f>
        <v>1589665.33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2023-06-27T13:44:30Z</dcterms:modified>
  <cp:category/>
  <cp:version/>
  <cp:contentType/>
  <cp:contentStatus/>
</cp:coreProperties>
</file>